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onturcolombia-my.sharepoint.com/personal/arojas_fontur_com_co/Documents/AROJAS/PRESUPUESTO/Presupuesto 2024/Informe mensual supervisión/"/>
    </mc:Choice>
  </mc:AlternateContent>
  <xr:revisionPtr revIDLastSave="1820" documentId="13_ncr:1_{6CC1D6A1-28A6-4FFD-B2DC-69FA4E86D816}" xr6:coauthVersionLast="47" xr6:coauthVersionMax="47" xr10:uidLastSave="{F85885CB-04C3-45C7-B682-93003DD1BCE4}"/>
  <bookViews>
    <workbookView xWindow="-120" yWindow="-120" windowWidth="29040" windowHeight="15720" tabRatio="735" firstSheet="1" activeTab="4" xr2:uid="{00000000-000D-0000-FFFF-FFFF00000000}"/>
  </bookViews>
  <sheets>
    <sheet name="DETALLE PPTO INGRESO 29-02-2020" sheetId="36" state="hidden" r:id="rId1"/>
    <sheet name="INGRESOS " sheetId="34" r:id="rId2"/>
    <sheet name="Ingresos Bienes" sheetId="40" state="hidden" r:id="rId3"/>
    <sheet name="Mayor valor recibido ppto 2024" sheetId="41" state="hidden" r:id="rId4"/>
    <sheet name="EGRESOS " sheetId="32" r:id="rId5"/>
    <sheet name="Detalle Ejecución PPTAL" sheetId="39" state="hidden" r:id="rId6"/>
    <sheet name="Detalle Funcionamiento" sheetId="37" state="hidden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5" hidden="1">'Detalle Ejecución PPTAL'!$A$2:$K$248</definedName>
    <definedName name="_xlnm._FilterDatabase" localSheetId="6" hidden="1">'Detalle Funcionamiento'!$A$12:$AK$47</definedName>
    <definedName name="_xlnm._FilterDatabase" localSheetId="4" hidden="1">'EGRESOS '!$A$4:$BW$28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39" i="34" l="1"/>
  <c r="AS39" i="34"/>
  <c r="AU39" i="34" s="1"/>
  <c r="AT39" i="34"/>
  <c r="AQ39" i="34"/>
  <c r="AR38" i="34"/>
  <c r="AS38" i="34"/>
  <c r="AT38" i="34"/>
  <c r="AQ38" i="34"/>
  <c r="AR37" i="34"/>
  <c r="AS37" i="34"/>
  <c r="AT37" i="34"/>
  <c r="AQ37" i="34"/>
  <c r="AU37" i="34" s="1"/>
  <c r="AR36" i="34"/>
  <c r="AS36" i="34"/>
  <c r="AT36" i="34"/>
  <c r="AQ36" i="34"/>
  <c r="AP39" i="34"/>
  <c r="AP38" i="34"/>
  <c r="AP37" i="34"/>
  <c r="AP36" i="34"/>
  <c r="AP40" i="34" s="1"/>
  <c r="AT40" i="34" l="1"/>
  <c r="AS40" i="34"/>
  <c r="AR40" i="34"/>
  <c r="AU38" i="34"/>
  <c r="AQ40" i="34"/>
  <c r="AU36" i="34"/>
  <c r="AU40" i="34" s="1"/>
  <c r="BV38" i="32"/>
  <c r="BV37" i="32"/>
  <c r="BV39" i="32" s="1"/>
  <c r="BA34" i="32" l="1"/>
  <c r="AS34" i="32"/>
  <c r="AO34" i="32"/>
  <c r="AJ34" i="32"/>
  <c r="AF34" i="32"/>
  <c r="AB34" i="32"/>
  <c r="AN31" i="34"/>
  <c r="AJ31" i="34"/>
  <c r="AA31" i="34"/>
  <c r="W31" i="34"/>
  <c r="S31" i="34"/>
  <c r="N31" i="34"/>
  <c r="J31" i="34"/>
  <c r="F31" i="34"/>
  <c r="AM31" i="34" l="1"/>
  <c r="AI31" i="34"/>
  <c r="AD31" i="34"/>
  <c r="Z31" i="34"/>
  <c r="V31" i="34"/>
  <c r="R31" i="34"/>
  <c r="M31" i="34"/>
  <c r="I31" i="34"/>
  <c r="AZ34" i="32"/>
  <c r="AR34" i="32"/>
  <c r="AN34" i="32"/>
  <c r="AI34" i="32"/>
  <c r="AE34" i="32"/>
  <c r="AA34" i="32"/>
  <c r="AY34" i="32" l="1"/>
  <c r="AQ34" i="32"/>
  <c r="AM34" i="32"/>
  <c r="AH34" i="32"/>
  <c r="AD34" i="32"/>
  <c r="Z34" i="32"/>
  <c r="AL31" i="34"/>
  <c r="AH31" i="34"/>
  <c r="AC31" i="34"/>
  <c r="Q31" i="34"/>
  <c r="L31" i="34"/>
  <c r="H31" i="34"/>
  <c r="AX34" i="32" l="1"/>
  <c r="AT34" i="32"/>
  <c r="AP34" i="32"/>
  <c r="AL34" i="32"/>
  <c r="AG34" i="32"/>
  <c r="AC34" i="32"/>
  <c r="Y34" i="32"/>
  <c r="U34" i="32"/>
  <c r="AK31" i="34"/>
  <c r="AG31" i="34"/>
  <c r="AB31" i="34"/>
  <c r="P31" i="34"/>
  <c r="K31" i="34"/>
  <c r="G31" i="34"/>
  <c r="B31" i="34"/>
  <c r="AJ28" i="32" l="1"/>
  <c r="BF7" i="32"/>
  <c r="BF8" i="32"/>
  <c r="BF9" i="32"/>
  <c r="BF10" i="32"/>
  <c r="BF11" i="32"/>
  <c r="BF12" i="32"/>
  <c r="BF13" i="32"/>
  <c r="BF14" i="32"/>
  <c r="BF15" i="32"/>
  <c r="BF16" i="32"/>
  <c r="BF17" i="32"/>
  <c r="BF18" i="32"/>
  <c r="BF21" i="32"/>
  <c r="BF22" i="32"/>
  <c r="BF23" i="32"/>
  <c r="BF25" i="32"/>
  <c r="BF26" i="32"/>
  <c r="BF27" i="32"/>
  <c r="BF28" i="32"/>
  <c r="BF32" i="32" s="1"/>
  <c r="AS31" i="34" s="1"/>
  <c r="BF30" i="32"/>
  <c r="BF6" i="32"/>
  <c r="BU7" i="32"/>
  <c r="BU8" i="32"/>
  <c r="BU9" i="32"/>
  <c r="BU10" i="32"/>
  <c r="BU11" i="32"/>
  <c r="BU12" i="32"/>
  <c r="BU13" i="32"/>
  <c r="BU14" i="32"/>
  <c r="BU15" i="32"/>
  <c r="BU16" i="32"/>
  <c r="BU17" i="32"/>
  <c r="BU18" i="32"/>
  <c r="BU20" i="32"/>
  <c r="BU21" i="32"/>
  <c r="BU22" i="32"/>
  <c r="BU23" i="32"/>
  <c r="BU25" i="32"/>
  <c r="BU26" i="32"/>
  <c r="BU27" i="32"/>
  <c r="BU29" i="32"/>
  <c r="BU6" i="32"/>
  <c r="BP7" i="32"/>
  <c r="BP8" i="32"/>
  <c r="BP9" i="32"/>
  <c r="BP10" i="32"/>
  <c r="BP11" i="32"/>
  <c r="BP12" i="32"/>
  <c r="BP13" i="32"/>
  <c r="BP14" i="32"/>
  <c r="BP15" i="32"/>
  <c r="BP16" i="32"/>
  <c r="BP17" i="32"/>
  <c r="BP18" i="32"/>
  <c r="BP20" i="32"/>
  <c r="BP21" i="32"/>
  <c r="BP22" i="32"/>
  <c r="BP23" i="32"/>
  <c r="BP25" i="32"/>
  <c r="BP26" i="32"/>
  <c r="BP27" i="32"/>
  <c r="BP29" i="32"/>
  <c r="BP30" i="32"/>
  <c r="BP6" i="32"/>
  <c r="BK7" i="32"/>
  <c r="BK8" i="32"/>
  <c r="BK9" i="32"/>
  <c r="BK10" i="32"/>
  <c r="BK11" i="32"/>
  <c r="BK12" i="32"/>
  <c r="BK13" i="32"/>
  <c r="BK14" i="32"/>
  <c r="BK15" i="32"/>
  <c r="BK16" i="32"/>
  <c r="BK17" i="32"/>
  <c r="BK18" i="32"/>
  <c r="BK21" i="32"/>
  <c r="BK22" i="32"/>
  <c r="BK23" i="32"/>
  <c r="BK25" i="32"/>
  <c r="BK26" i="32"/>
  <c r="BK27" i="32"/>
  <c r="BK30" i="32"/>
  <c r="BK6" i="32"/>
  <c r="AX28" i="32"/>
  <c r="AX32" i="32" s="1"/>
  <c r="AY28" i="32"/>
  <c r="AZ28" i="32"/>
  <c r="BA28" i="32"/>
  <c r="AX24" i="32"/>
  <c r="AY24" i="32"/>
  <c r="AZ24" i="32"/>
  <c r="BA24" i="32"/>
  <c r="AX19" i="32"/>
  <c r="AY19" i="32"/>
  <c r="AZ19" i="32"/>
  <c r="BA19" i="32"/>
  <c r="AV28" i="32"/>
  <c r="AW28" i="32"/>
  <c r="AW24" i="32"/>
  <c r="AW19" i="32"/>
  <c r="AR24" i="32"/>
  <c r="AS24" i="32"/>
  <c r="AR19" i="32"/>
  <c r="AS19" i="32"/>
  <c r="AL19" i="32"/>
  <c r="AN19" i="32"/>
  <c r="AO19" i="32"/>
  <c r="AO28" i="32"/>
  <c r="AO24" i="32"/>
  <c r="BF24" i="32" s="1"/>
  <c r="AI19" i="32"/>
  <c r="AI24" i="32"/>
  <c r="AI28" i="32"/>
  <c r="AI30" i="32" s="1"/>
  <c r="AE28" i="32"/>
  <c r="AF28" i="32"/>
  <c r="AE24" i="32"/>
  <c r="AF24" i="32"/>
  <c r="AC19" i="32"/>
  <c r="AD19" i="32"/>
  <c r="AE19" i="32"/>
  <c r="AF19" i="32"/>
  <c r="AA28" i="32"/>
  <c r="AB28" i="32"/>
  <c r="BK28" i="32" s="1"/>
  <c r="AA24" i="32"/>
  <c r="AB24" i="32"/>
  <c r="BK24" i="32" s="1"/>
  <c r="Z19" i="32"/>
  <c r="AA19" i="32"/>
  <c r="AB19" i="32"/>
  <c r="Z28" i="32"/>
  <c r="S28" i="32"/>
  <c r="BU28" i="32" s="1"/>
  <c r="S24" i="32"/>
  <c r="BU24" i="32" s="1"/>
  <c r="S19" i="32"/>
  <c r="O28" i="32"/>
  <c r="BP28" i="32" s="1"/>
  <c r="O24" i="32"/>
  <c r="BP24" i="32" s="1"/>
  <c r="O19" i="32"/>
  <c r="O32" i="32" s="1"/>
  <c r="K28" i="32"/>
  <c r="K24" i="32"/>
  <c r="K19" i="32"/>
  <c r="BK19" i="32" s="1"/>
  <c r="G28" i="32"/>
  <c r="G24" i="32"/>
  <c r="G19" i="32"/>
  <c r="BF19" i="32" s="1"/>
  <c r="C27" i="34"/>
  <c r="D27" i="34"/>
  <c r="E27" i="34"/>
  <c r="F27" i="34"/>
  <c r="G27" i="34"/>
  <c r="H27" i="34"/>
  <c r="I27" i="34"/>
  <c r="J27" i="34"/>
  <c r="K27" i="34"/>
  <c r="L27" i="34"/>
  <c r="M27" i="34"/>
  <c r="N27" i="34"/>
  <c r="S27" i="34"/>
  <c r="U27" i="34"/>
  <c r="V27" i="34"/>
  <c r="W27" i="34"/>
  <c r="Y27" i="34"/>
  <c r="Z27" i="34"/>
  <c r="AA27" i="34"/>
  <c r="AB27" i="34"/>
  <c r="AC27" i="34"/>
  <c r="AD27" i="34"/>
  <c r="AE27" i="34"/>
  <c r="AF27" i="34"/>
  <c r="AG27" i="34"/>
  <c r="AH27" i="34"/>
  <c r="AI27" i="34"/>
  <c r="AJ27" i="34"/>
  <c r="AK27" i="34"/>
  <c r="AL27" i="34"/>
  <c r="AM27" i="34"/>
  <c r="AN27" i="34"/>
  <c r="BD28" i="34"/>
  <c r="BC6" i="34"/>
  <c r="BC7" i="34"/>
  <c r="BC8" i="34"/>
  <c r="BC9" i="34"/>
  <c r="BC10" i="34"/>
  <c r="BC12" i="34"/>
  <c r="BC13" i="34"/>
  <c r="BC14" i="34"/>
  <c r="BC15" i="34"/>
  <c r="BC16" i="34"/>
  <c r="BC17" i="34"/>
  <c r="BC18" i="34"/>
  <c r="BD20" i="34"/>
  <c r="BC21" i="34"/>
  <c r="BC27" i="34" s="1"/>
  <c r="BC22" i="34"/>
  <c r="BC23" i="34"/>
  <c r="BC24" i="34"/>
  <c r="BC25" i="34"/>
  <c r="BC26" i="34"/>
  <c r="BC5" i="34"/>
  <c r="AX6" i="34"/>
  <c r="AX7" i="34"/>
  <c r="AX8" i="34"/>
  <c r="AX9" i="34"/>
  <c r="AX10" i="34"/>
  <c r="AX12" i="34"/>
  <c r="AX13" i="34"/>
  <c r="AX14" i="34"/>
  <c r="AX15" i="34"/>
  <c r="AX16" i="34"/>
  <c r="AX17" i="34"/>
  <c r="AX18" i="34"/>
  <c r="AX20" i="34"/>
  <c r="AY20" i="34" s="1"/>
  <c r="AX21" i="34"/>
  <c r="AX22" i="34"/>
  <c r="AX23" i="34"/>
  <c r="AX24" i="34"/>
  <c r="AX25" i="34"/>
  <c r="AX27" i="34" s="1"/>
  <c r="AX26" i="34"/>
  <c r="AX5" i="34"/>
  <c r="AS28" i="34"/>
  <c r="AS26" i="34"/>
  <c r="AS25" i="34"/>
  <c r="AS24" i="34"/>
  <c r="AS23" i="34"/>
  <c r="AS22" i="34"/>
  <c r="AS21" i="34"/>
  <c r="AS27" i="34" s="1"/>
  <c r="AS18" i="34"/>
  <c r="AS17" i="34"/>
  <c r="AS15" i="34"/>
  <c r="AS14" i="34"/>
  <c r="AS13" i="34"/>
  <c r="AS12" i="34"/>
  <c r="AS10" i="34"/>
  <c r="AS9" i="34"/>
  <c r="AS8" i="34"/>
  <c r="AS7" i="34"/>
  <c r="AS6" i="34"/>
  <c r="AS5" i="34"/>
  <c r="AN19" i="34"/>
  <c r="AJ19" i="34"/>
  <c r="AI19" i="34"/>
  <c r="N16" i="34"/>
  <c r="N11" i="34"/>
  <c r="BC11" i="34" s="1"/>
  <c r="BC19" i="34" s="1"/>
  <c r="J16" i="34"/>
  <c r="J11" i="34"/>
  <c r="J19" i="34" s="1"/>
  <c r="AA19" i="34"/>
  <c r="BU19" i="32" l="1"/>
  <c r="S32" i="32"/>
  <c r="BP19" i="32"/>
  <c r="BP32" i="32"/>
  <c r="AZ32" i="32"/>
  <c r="AY32" i="32"/>
  <c r="AO32" i="32"/>
  <c r="AJ30" i="32"/>
  <c r="BU30" i="32" s="1"/>
  <c r="BU32" i="32" s="1"/>
  <c r="AI32" i="32"/>
  <c r="BK32" i="32"/>
  <c r="BA32" i="32"/>
  <c r="AW32" i="32"/>
  <c r="AS32" i="32"/>
  <c r="AR32" i="32"/>
  <c r="AF32" i="32"/>
  <c r="AE32" i="32"/>
  <c r="AA32" i="32"/>
  <c r="AB32" i="32"/>
  <c r="G32" i="32"/>
  <c r="AX11" i="34"/>
  <c r="AX19" i="34" s="1"/>
  <c r="AX29" i="34" s="1"/>
  <c r="AN29" i="34"/>
  <c r="AJ29" i="34"/>
  <c r="J29" i="34"/>
  <c r="AI29" i="34"/>
  <c r="BC29" i="34"/>
  <c r="N19" i="34"/>
  <c r="N29" i="34" s="1"/>
  <c r="AA29" i="34"/>
  <c r="AJ32" i="32" l="1"/>
  <c r="BB6" i="34" l="1"/>
  <c r="BB7" i="34"/>
  <c r="BB8" i="34"/>
  <c r="BB9" i="34"/>
  <c r="BB10" i="34"/>
  <c r="BB12" i="34"/>
  <c r="BB13" i="34"/>
  <c r="BB14" i="34"/>
  <c r="BB15" i="34"/>
  <c r="BB17" i="34"/>
  <c r="BB18" i="34"/>
  <c r="BB21" i="34"/>
  <c r="BB22" i="34"/>
  <c r="BB23" i="34"/>
  <c r="BB24" i="34"/>
  <c r="BB25" i="34"/>
  <c r="BB26" i="34"/>
  <c r="BB5" i="34"/>
  <c r="AW6" i="34"/>
  <c r="AW7" i="34"/>
  <c r="AW8" i="34"/>
  <c r="AW9" i="34"/>
  <c r="AW10" i="34"/>
  <c r="AW12" i="34"/>
  <c r="AW13" i="34"/>
  <c r="AW14" i="34"/>
  <c r="AW15" i="34"/>
  <c r="AW17" i="34"/>
  <c r="AW18" i="34"/>
  <c r="AW21" i="34"/>
  <c r="AW22" i="34"/>
  <c r="AW23" i="34"/>
  <c r="AW24" i="34"/>
  <c r="AW25" i="34"/>
  <c r="AW26" i="34"/>
  <c r="AW5" i="34"/>
  <c r="AR6" i="34"/>
  <c r="AR7" i="34"/>
  <c r="AR8" i="34"/>
  <c r="AR9" i="34"/>
  <c r="AR10" i="34"/>
  <c r="AR12" i="34"/>
  <c r="AR13" i="34"/>
  <c r="AR14" i="34"/>
  <c r="AR15" i="34"/>
  <c r="AR17" i="34"/>
  <c r="AR18" i="34"/>
  <c r="AR21" i="34"/>
  <c r="AR23" i="34"/>
  <c r="AR24" i="34"/>
  <c r="AR25" i="34"/>
  <c r="AR26" i="34"/>
  <c r="AR28" i="34"/>
  <c r="AT28" i="34" s="1"/>
  <c r="AR5" i="34"/>
  <c r="AM29" i="34"/>
  <c r="AH16" i="34"/>
  <c r="AH14" i="34"/>
  <c r="AH13" i="34"/>
  <c r="AH11" i="34"/>
  <c r="AL13" i="34"/>
  <c r="AL14" i="34"/>
  <c r="AL16" i="34"/>
  <c r="AE16" i="34"/>
  <c r="AE11" i="34"/>
  <c r="Z19" i="34"/>
  <c r="Y19" i="34"/>
  <c r="V19" i="34"/>
  <c r="U19" i="34"/>
  <c r="AW27" i="34" l="1"/>
  <c r="BB27" i="34"/>
  <c r="V29" i="34"/>
  <c r="AH19" i="34"/>
  <c r="AL11" i="34"/>
  <c r="AL19" i="34" s="1"/>
  <c r="AL29" i="34" s="1"/>
  <c r="U29" i="34"/>
  <c r="AH29" i="34"/>
  <c r="AE19" i="34"/>
  <c r="AE29" i="34" s="1"/>
  <c r="Z29" i="34"/>
  <c r="Y29" i="34"/>
  <c r="R22" i="34" l="1"/>
  <c r="R27" i="34" s="1"/>
  <c r="R16" i="34"/>
  <c r="R11" i="34"/>
  <c r="M16" i="34"/>
  <c r="BB16" i="34" s="1"/>
  <c r="M11" i="34"/>
  <c r="BB11" i="34" s="1"/>
  <c r="I11" i="34"/>
  <c r="AW11" i="34" s="1"/>
  <c r="I16" i="34"/>
  <c r="AW16" i="34" s="1"/>
  <c r="F16" i="34"/>
  <c r="AS16" i="34" s="1"/>
  <c r="E16" i="34"/>
  <c r="AR16" i="34" s="1"/>
  <c r="F11" i="34"/>
  <c r="AS11" i="34" s="1"/>
  <c r="AS19" i="34" s="1"/>
  <c r="AS29" i="34" s="1"/>
  <c r="E11" i="34"/>
  <c r="AR11" i="34" s="1"/>
  <c r="AR19" i="34" s="1"/>
  <c r="BT7" i="32"/>
  <c r="BT8" i="32"/>
  <c r="BT9" i="32"/>
  <c r="BT10" i="32"/>
  <c r="BT11" i="32"/>
  <c r="BT12" i="32"/>
  <c r="BT13" i="32"/>
  <c r="BT14" i="32"/>
  <c r="BT15" i="32"/>
  <c r="BT16" i="32"/>
  <c r="BT17" i="32"/>
  <c r="BT18" i="32"/>
  <c r="BT20" i="32"/>
  <c r="BT21" i="32"/>
  <c r="BT22" i="32"/>
  <c r="BT23" i="32"/>
  <c r="BT25" i="32"/>
  <c r="BT26" i="32"/>
  <c r="BT27" i="32"/>
  <c r="BT29" i="32"/>
  <c r="BV29" i="32" s="1"/>
  <c r="BT30" i="32"/>
  <c r="BT6" i="32"/>
  <c r="BO7" i="32"/>
  <c r="BO8" i="32"/>
  <c r="BO9" i="32"/>
  <c r="BO10" i="32"/>
  <c r="BO11" i="32"/>
  <c r="BO12" i="32"/>
  <c r="BO13" i="32"/>
  <c r="BO14" i="32"/>
  <c r="BO15" i="32"/>
  <c r="BO16" i="32"/>
  <c r="BO17" i="32"/>
  <c r="BO18" i="32"/>
  <c r="BO20" i="32"/>
  <c r="BO21" i="32"/>
  <c r="BO22" i="32"/>
  <c r="BO23" i="32"/>
  <c r="BO25" i="32"/>
  <c r="BO26" i="32"/>
  <c r="BO27" i="32"/>
  <c r="BO29" i="32"/>
  <c r="BO30" i="32"/>
  <c r="BO6" i="32"/>
  <c r="BJ7" i="32"/>
  <c r="BJ8" i="32"/>
  <c r="BJ9" i="32"/>
  <c r="BJ10" i="32"/>
  <c r="BJ11" i="32"/>
  <c r="BJ12" i="32"/>
  <c r="BJ13" i="32"/>
  <c r="BJ14" i="32"/>
  <c r="BJ15" i="32"/>
  <c r="BJ16" i="32"/>
  <c r="BJ17" i="32"/>
  <c r="BJ18" i="32"/>
  <c r="BJ21" i="32"/>
  <c r="BJ22" i="32"/>
  <c r="BJ23" i="32"/>
  <c r="BJ25" i="32"/>
  <c r="BJ26" i="32"/>
  <c r="BJ27" i="32"/>
  <c r="BJ30" i="32"/>
  <c r="BJ6" i="32"/>
  <c r="BE7" i="32"/>
  <c r="BE8" i="32"/>
  <c r="BE9" i="32"/>
  <c r="BE10" i="32"/>
  <c r="BE11" i="32"/>
  <c r="BE12" i="32"/>
  <c r="BE13" i="32"/>
  <c r="BE14" i="32"/>
  <c r="BE15" i="32"/>
  <c r="BE16" i="32"/>
  <c r="BE17" i="32"/>
  <c r="BE18" i="32"/>
  <c r="BE21" i="32"/>
  <c r="BE22" i="32"/>
  <c r="BE23" i="32"/>
  <c r="BE25" i="32"/>
  <c r="BE26" i="32"/>
  <c r="BE27" i="32"/>
  <c r="BE30" i="32"/>
  <c r="BE6" i="32"/>
  <c r="AV19" i="32"/>
  <c r="AV24" i="32"/>
  <c r="AN28" i="32"/>
  <c r="AN24" i="32"/>
  <c r="W28" i="32"/>
  <c r="W24" i="32"/>
  <c r="Y19" i="32"/>
  <c r="W19" i="32"/>
  <c r="R28" i="32"/>
  <c r="BT28" i="32" s="1"/>
  <c r="R24" i="32"/>
  <c r="R19" i="32"/>
  <c r="R32" i="32" s="1"/>
  <c r="N28" i="32"/>
  <c r="BO28" i="32" s="1"/>
  <c r="N24" i="32"/>
  <c r="N19" i="32"/>
  <c r="N32" i="32" s="1"/>
  <c r="K32" i="32"/>
  <c r="J28" i="32"/>
  <c r="BJ28" i="32" s="1"/>
  <c r="J24" i="32"/>
  <c r="BJ24" i="32" s="1"/>
  <c r="J19" i="32"/>
  <c r="BJ19" i="32" s="1"/>
  <c r="F28" i="32"/>
  <c r="F24" i="32"/>
  <c r="F19" i="32"/>
  <c r="AN32" i="32" l="1"/>
  <c r="AV32" i="32"/>
  <c r="BE19" i="32"/>
  <c r="BE24" i="32"/>
  <c r="BE28" i="32"/>
  <c r="BO24" i="32"/>
  <c r="BT24" i="32"/>
  <c r="BJ32" i="32"/>
  <c r="BT19" i="32"/>
  <c r="BO19" i="32"/>
  <c r="BO32" i="32" s="1"/>
  <c r="AW19" i="34"/>
  <c r="AW29" i="34" s="1"/>
  <c r="BB19" i="34"/>
  <c r="BB29" i="34" s="1"/>
  <c r="AR22" i="34"/>
  <c r="AR27" i="34" s="1"/>
  <c r="AR29" i="34" s="1"/>
  <c r="R19" i="34"/>
  <c r="M19" i="34"/>
  <c r="I19" i="34"/>
  <c r="E19" i="34"/>
  <c r="F19" i="34"/>
  <c r="F29" i="34" s="1"/>
  <c r="W32" i="32"/>
  <c r="J32" i="32"/>
  <c r="F32" i="32"/>
  <c r="BT32" i="32" l="1"/>
  <c r="BE32" i="32"/>
  <c r="AR31" i="34" s="1"/>
  <c r="R29" i="34"/>
  <c r="M29" i="34"/>
  <c r="I29" i="34"/>
  <c r="E29" i="34"/>
  <c r="BS7" i="32" l="1"/>
  <c r="BS8" i="32"/>
  <c r="BS9" i="32"/>
  <c r="BS10" i="32"/>
  <c r="BS11" i="32"/>
  <c r="BS12" i="32"/>
  <c r="BS13" i="32"/>
  <c r="BS14" i="32"/>
  <c r="BS15" i="32"/>
  <c r="BS16" i="32"/>
  <c r="BS17" i="32"/>
  <c r="BS18" i="32"/>
  <c r="BS20" i="32"/>
  <c r="BS21" i="32"/>
  <c r="BS22" i="32"/>
  <c r="BS23" i="32"/>
  <c r="BS25" i="32"/>
  <c r="BS26" i="32"/>
  <c r="BS27" i="32"/>
  <c r="BS6" i="32"/>
  <c r="BR7" i="32"/>
  <c r="BV7" i="32" s="1"/>
  <c r="BR8" i="32"/>
  <c r="BV8" i="32" s="1"/>
  <c r="BR9" i="32"/>
  <c r="BV9" i="32" s="1"/>
  <c r="BR10" i="32"/>
  <c r="BV10" i="32" s="1"/>
  <c r="BR11" i="32"/>
  <c r="BV11" i="32" s="1"/>
  <c r="BR12" i="32"/>
  <c r="BR13" i="32"/>
  <c r="BR14" i="32"/>
  <c r="BV14" i="32" s="1"/>
  <c r="BR15" i="32"/>
  <c r="BR16" i="32"/>
  <c r="BV16" i="32" s="1"/>
  <c r="BR17" i="32"/>
  <c r="BV17" i="32" s="1"/>
  <c r="BR18" i="32"/>
  <c r="BV18" i="32" s="1"/>
  <c r="BR20" i="32"/>
  <c r="BV20" i="32" s="1"/>
  <c r="BR21" i="32"/>
  <c r="BV21" i="32" s="1"/>
  <c r="BR22" i="32"/>
  <c r="BV22" i="32" s="1"/>
  <c r="BR23" i="32"/>
  <c r="BV23" i="32" s="1"/>
  <c r="BR25" i="32"/>
  <c r="BR26" i="32"/>
  <c r="BV26" i="32" s="1"/>
  <c r="BR27" i="32"/>
  <c r="BR6" i="32"/>
  <c r="BV6" i="32" s="1"/>
  <c r="BN7" i="32"/>
  <c r="BN8" i="32"/>
  <c r="BN10" i="32"/>
  <c r="BN11" i="32"/>
  <c r="BN12" i="32"/>
  <c r="BN13" i="32"/>
  <c r="BN14" i="32"/>
  <c r="BN15" i="32"/>
  <c r="BN16" i="32"/>
  <c r="BN17" i="32"/>
  <c r="BN18" i="32"/>
  <c r="BN20" i="32"/>
  <c r="BQ20" i="32" s="1"/>
  <c r="BN21" i="32"/>
  <c r="BN23" i="32"/>
  <c r="BN25" i="32"/>
  <c r="BN26" i="32"/>
  <c r="BN27" i="32"/>
  <c r="BN29" i="32"/>
  <c r="BN30" i="32"/>
  <c r="BM7" i="32"/>
  <c r="BQ7" i="32" s="1"/>
  <c r="BM8" i="32"/>
  <c r="BM9" i="32"/>
  <c r="BM10" i="32"/>
  <c r="BQ10" i="32" s="1"/>
  <c r="BM11" i="32"/>
  <c r="BQ11" i="32" s="1"/>
  <c r="BM12" i="32"/>
  <c r="BQ12" i="32" s="1"/>
  <c r="BM13" i="32"/>
  <c r="BQ13" i="32" s="1"/>
  <c r="BM14" i="32"/>
  <c r="BM15" i="32"/>
  <c r="BQ15" i="32" s="1"/>
  <c r="BM16" i="32"/>
  <c r="BM17" i="32"/>
  <c r="BQ17" i="32" s="1"/>
  <c r="BM18" i="32"/>
  <c r="BM21" i="32"/>
  <c r="BM22" i="32"/>
  <c r="BM23" i="32"/>
  <c r="BQ23" i="32" s="1"/>
  <c r="BM25" i="32"/>
  <c r="BQ25" i="32" s="1"/>
  <c r="BM26" i="32"/>
  <c r="BQ26" i="32" s="1"/>
  <c r="BM27" i="32"/>
  <c r="BM29" i="32"/>
  <c r="BQ29" i="32" s="1"/>
  <c r="BM30" i="32"/>
  <c r="BQ30" i="32" s="1"/>
  <c r="BM6" i="32"/>
  <c r="BH7" i="32"/>
  <c r="BI7" i="32"/>
  <c r="BH8" i="32"/>
  <c r="BI8" i="32"/>
  <c r="BH9" i="32"/>
  <c r="BI9" i="32"/>
  <c r="BH10" i="32"/>
  <c r="BI10" i="32"/>
  <c r="BH11" i="32"/>
  <c r="BI11" i="32"/>
  <c r="BH12" i="32"/>
  <c r="BI12" i="32"/>
  <c r="BH13" i="32"/>
  <c r="BI13" i="32"/>
  <c r="BH14" i="32"/>
  <c r="BI14" i="32"/>
  <c r="BH15" i="32"/>
  <c r="BI15" i="32"/>
  <c r="BH16" i="32"/>
  <c r="BI16" i="32"/>
  <c r="BH17" i="32"/>
  <c r="BI17" i="32"/>
  <c r="BH18" i="32"/>
  <c r="BI18" i="32"/>
  <c r="BH21" i="32"/>
  <c r="BI21" i="32"/>
  <c r="BH22" i="32"/>
  <c r="BH23" i="32"/>
  <c r="BI23" i="32"/>
  <c r="BH25" i="32"/>
  <c r="BI25" i="32"/>
  <c r="BH26" i="32"/>
  <c r="BI26" i="32"/>
  <c r="BH27" i="32"/>
  <c r="BI27" i="32"/>
  <c r="BH30" i="32"/>
  <c r="BI30" i="32"/>
  <c r="BI6" i="32"/>
  <c r="BH6" i="32"/>
  <c r="BL6" i="32" s="1"/>
  <c r="BD22" i="32"/>
  <c r="BD7" i="32"/>
  <c r="BD8" i="32"/>
  <c r="BD10" i="32"/>
  <c r="BD11" i="32"/>
  <c r="BD12" i="32"/>
  <c r="BD15" i="32"/>
  <c r="BD16" i="32"/>
  <c r="BD17" i="32"/>
  <c r="BD18" i="32"/>
  <c r="BD21" i="32"/>
  <c r="BD23" i="32"/>
  <c r="BD25" i="32"/>
  <c r="BD26" i="32"/>
  <c r="BD27" i="32"/>
  <c r="BD30" i="32"/>
  <c r="BC7" i="32"/>
  <c r="BC8" i="32"/>
  <c r="BC10" i="32"/>
  <c r="BC11" i="32"/>
  <c r="BC13" i="32"/>
  <c r="BC15" i="32"/>
  <c r="BC16" i="32"/>
  <c r="BC18" i="32"/>
  <c r="BC25" i="32"/>
  <c r="BC26" i="32"/>
  <c r="BC30" i="32"/>
  <c r="BC6" i="32"/>
  <c r="BV27" i="32" l="1"/>
  <c r="BL30" i="32"/>
  <c r="BQ21" i="32"/>
  <c r="BL12" i="32"/>
  <c r="BL21" i="32"/>
  <c r="BL15" i="32"/>
  <c r="BL13" i="32"/>
  <c r="BQ18" i="32"/>
  <c r="BV15" i="32"/>
  <c r="BL10" i="32"/>
  <c r="BL9" i="32"/>
  <c r="BL27" i="32"/>
  <c r="BQ16" i="32"/>
  <c r="BV13" i="32"/>
  <c r="BL18" i="32"/>
  <c r="BL16" i="32"/>
  <c r="BQ27" i="32"/>
  <c r="BL14" i="32"/>
  <c r="BL26" i="32"/>
  <c r="BL25" i="32"/>
  <c r="BL11" i="32"/>
  <c r="BL23" i="32"/>
  <c r="BQ14" i="32"/>
  <c r="BV12" i="32"/>
  <c r="BV25" i="32"/>
  <c r="BL8" i="32"/>
  <c r="BL17" i="32"/>
  <c r="BL7" i="32"/>
  <c r="BQ8" i="32"/>
  <c r="BB21" i="32"/>
  <c r="BG21" i="32" s="1"/>
  <c r="BB7" i="32"/>
  <c r="BG7" i="32" s="1"/>
  <c r="BB8" i="32"/>
  <c r="BG8" i="32" s="1"/>
  <c r="BB9" i="32"/>
  <c r="BG9" i="32" s="1"/>
  <c r="BB10" i="32"/>
  <c r="BG10" i="32" s="1"/>
  <c r="BB11" i="32"/>
  <c r="BG11" i="32" s="1"/>
  <c r="BB12" i="32"/>
  <c r="BG12" i="32" s="1"/>
  <c r="BB13" i="32"/>
  <c r="BB14" i="32"/>
  <c r="BB15" i="32"/>
  <c r="BG15" i="32" s="1"/>
  <c r="BB16" i="32"/>
  <c r="BG16" i="32" s="1"/>
  <c r="BB17" i="32"/>
  <c r="BB18" i="32"/>
  <c r="BG18" i="32" s="1"/>
  <c r="BB22" i="32"/>
  <c r="BB23" i="32"/>
  <c r="BB25" i="32"/>
  <c r="BG25" i="32" s="1"/>
  <c r="BB26" i="32"/>
  <c r="BG26" i="32" s="1"/>
  <c r="BB27" i="32"/>
  <c r="BG27" i="32" s="1"/>
  <c r="BB30" i="32"/>
  <c r="BG30" i="32" s="1"/>
  <c r="BB6" i="32"/>
  <c r="AU28" i="32"/>
  <c r="AU24" i="32"/>
  <c r="AU9" i="32"/>
  <c r="BN9" i="32" s="1"/>
  <c r="BQ9" i="32" s="1"/>
  <c r="AU6" i="32"/>
  <c r="BN6" i="32" s="1"/>
  <c r="BQ6" i="32" s="1"/>
  <c r="AQ19" i="32"/>
  <c r="AQ28" i="32"/>
  <c r="AQ24" i="32"/>
  <c r="AT19" i="32"/>
  <c r="AT24" i="32"/>
  <c r="AT28" i="32"/>
  <c r="AM14" i="32"/>
  <c r="AM13" i="32"/>
  <c r="BD13" i="32" s="1"/>
  <c r="AM9" i="32"/>
  <c r="BD9" i="32" s="1"/>
  <c r="AM6" i="32"/>
  <c r="AM19" i="32" s="1"/>
  <c r="AM28" i="32"/>
  <c r="AM24" i="32"/>
  <c r="AL23" i="32"/>
  <c r="BC23" i="32" s="1"/>
  <c r="AL22" i="32"/>
  <c r="BC22" i="32" s="1"/>
  <c r="AL21" i="32"/>
  <c r="BC21" i="32" s="1"/>
  <c r="AK28" i="32"/>
  <c r="AK24" i="32"/>
  <c r="AK19" i="32"/>
  <c r="AH28" i="32"/>
  <c r="AH24" i="32"/>
  <c r="AH19" i="32"/>
  <c r="AD22" i="32"/>
  <c r="AD28" i="32"/>
  <c r="AG24" i="32"/>
  <c r="AC24" i="32"/>
  <c r="Z22" i="32"/>
  <c r="V14" i="32"/>
  <c r="V6" i="32"/>
  <c r="V28" i="32"/>
  <c r="V24" i="32"/>
  <c r="U27" i="32"/>
  <c r="BC27" i="32" s="1"/>
  <c r="U17" i="32"/>
  <c r="BC17" i="32" s="1"/>
  <c r="U14" i="32"/>
  <c r="BC14" i="32" s="1"/>
  <c r="U12" i="32"/>
  <c r="BC12" i="32" s="1"/>
  <c r="U9" i="32"/>
  <c r="BC9" i="32" s="1"/>
  <c r="T24" i="32"/>
  <c r="T19" i="32"/>
  <c r="Q28" i="32"/>
  <c r="Q24" i="32"/>
  <c r="Q19" i="32"/>
  <c r="Q32" i="32" s="1"/>
  <c r="M28" i="32"/>
  <c r="M24" i="32"/>
  <c r="M19" i="32"/>
  <c r="M32" i="32" s="1"/>
  <c r="I28" i="32"/>
  <c r="I24" i="32"/>
  <c r="I19" i="32"/>
  <c r="E28" i="32"/>
  <c r="E24" i="32"/>
  <c r="E19" i="32"/>
  <c r="D28" i="32"/>
  <c r="D24" i="32"/>
  <c r="D19" i="32"/>
  <c r="C28" i="32"/>
  <c r="C24" i="32"/>
  <c r="C19" i="32"/>
  <c r="BA26" i="34"/>
  <c r="AZ26" i="34"/>
  <c r="BD26" i="34" s="1"/>
  <c r="BA25" i="34"/>
  <c r="AZ25" i="34"/>
  <c r="BA23" i="34"/>
  <c r="BA21" i="34"/>
  <c r="BA18" i="34"/>
  <c r="BA17" i="34"/>
  <c r="BA15" i="34"/>
  <c r="BA12" i="34"/>
  <c r="BA10" i="34"/>
  <c r="BA9" i="34"/>
  <c r="BA8" i="34"/>
  <c r="BA7" i="34"/>
  <c r="BA6" i="34"/>
  <c r="BA5" i="34"/>
  <c r="AZ5" i="34"/>
  <c r="AV26" i="34"/>
  <c r="AU26" i="34"/>
  <c r="AV25" i="34"/>
  <c r="AU25" i="34"/>
  <c r="AU24" i="34"/>
  <c r="AV23" i="34"/>
  <c r="AU23" i="34"/>
  <c r="AV21" i="34"/>
  <c r="AU21" i="34"/>
  <c r="AY21" i="34" s="1"/>
  <c r="AU18" i="34"/>
  <c r="AV18" i="34"/>
  <c r="AU6" i="34"/>
  <c r="AV6" i="34"/>
  <c r="AU7" i="34"/>
  <c r="AV7" i="34"/>
  <c r="AV8" i="34"/>
  <c r="AU9" i="34"/>
  <c r="AV9" i="34"/>
  <c r="AV10" i="34"/>
  <c r="AU12" i="34"/>
  <c r="AV12" i="34"/>
  <c r="AU14" i="34"/>
  <c r="AU15" i="34"/>
  <c r="AV15" i="34"/>
  <c r="AU17" i="34"/>
  <c r="AV17" i="34"/>
  <c r="AV5" i="34"/>
  <c r="AU5" i="34"/>
  <c r="AY5" i="34" s="1"/>
  <c r="AQ26" i="34"/>
  <c r="AQ25" i="34"/>
  <c r="AQ24" i="34"/>
  <c r="AQ23" i="34"/>
  <c r="AQ21" i="34"/>
  <c r="AQ18" i="34"/>
  <c r="AQ17" i="34"/>
  <c r="AQ15" i="34"/>
  <c r="AQ14" i="34"/>
  <c r="AQ13" i="34"/>
  <c r="AQ12" i="34"/>
  <c r="AQ10" i="34"/>
  <c r="AQ9" i="34"/>
  <c r="AQ8" i="34"/>
  <c r="AQ7" i="34"/>
  <c r="AQ6" i="34"/>
  <c r="AQ5" i="34"/>
  <c r="AP26" i="34"/>
  <c r="AP25" i="34"/>
  <c r="AP24" i="34"/>
  <c r="AP23" i="34"/>
  <c r="AP21" i="34"/>
  <c r="AP18" i="34"/>
  <c r="AP17" i="34"/>
  <c r="AP15" i="34"/>
  <c r="AP14" i="34"/>
  <c r="AP13" i="34"/>
  <c r="AP12" i="34"/>
  <c r="AP10" i="34"/>
  <c r="AP9" i="34"/>
  <c r="AP8" i="34"/>
  <c r="AT8" i="34" s="1"/>
  <c r="AP7" i="34"/>
  <c r="AT7" i="34" s="1"/>
  <c r="AP6" i="34"/>
  <c r="AT6" i="34" s="1"/>
  <c r="AP5" i="34"/>
  <c r="AO26" i="34"/>
  <c r="AO25" i="34"/>
  <c r="AO24" i="34"/>
  <c r="AO23" i="34"/>
  <c r="AO21" i="34"/>
  <c r="AO18" i="34"/>
  <c r="AO17" i="34"/>
  <c r="AO15" i="34"/>
  <c r="AO13" i="34"/>
  <c r="AO14" i="34"/>
  <c r="AO12" i="34"/>
  <c r="AO6" i="34"/>
  <c r="AO7" i="34"/>
  <c r="AO8" i="34"/>
  <c r="AO9" i="34"/>
  <c r="AO10" i="34"/>
  <c r="AO5" i="34"/>
  <c r="AB16" i="34"/>
  <c r="AB11" i="34"/>
  <c r="O22" i="34"/>
  <c r="O27" i="34" s="1"/>
  <c r="O16" i="34"/>
  <c r="O11" i="34"/>
  <c r="B27" i="34"/>
  <c r="B16" i="34"/>
  <c r="B11" i="34"/>
  <c r="B19" i="34" s="1"/>
  <c r="BD25" i="34" l="1"/>
  <c r="AY23" i="34"/>
  <c r="BG17" i="32"/>
  <c r="BG23" i="32"/>
  <c r="BG22" i="32"/>
  <c r="BG13" i="32"/>
  <c r="AY25" i="34"/>
  <c r="AM32" i="32"/>
  <c r="C32" i="32"/>
  <c r="BD14" i="32"/>
  <c r="BG14" i="32" s="1"/>
  <c r="BD6" i="32"/>
  <c r="BG6" i="32" s="1"/>
  <c r="AY12" i="34"/>
  <c r="BD5" i="34"/>
  <c r="AT13" i="34"/>
  <c r="AY18" i="34"/>
  <c r="AT17" i="34"/>
  <c r="AT12" i="34"/>
  <c r="AY7" i="34"/>
  <c r="AT23" i="34"/>
  <c r="AY17" i="34"/>
  <c r="AY9" i="34"/>
  <c r="AT15" i="34"/>
  <c r="AT10" i="34"/>
  <c r="AT14" i="34"/>
  <c r="AY6" i="34"/>
  <c r="AT25" i="34"/>
  <c r="AY15" i="34"/>
  <c r="AT9" i="34"/>
  <c r="AT18" i="34"/>
  <c r="AT21" i="34"/>
  <c r="AT24" i="34"/>
  <c r="AT26" i="34"/>
  <c r="AT5" i="34"/>
  <c r="AY26" i="34"/>
  <c r="BI28" i="32"/>
  <c r="I32" i="32"/>
  <c r="BS19" i="32"/>
  <c r="BS28" i="32"/>
  <c r="D32" i="32"/>
  <c r="E32" i="32"/>
  <c r="BS24" i="32"/>
  <c r="BB19" i="32"/>
  <c r="BN28" i="32"/>
  <c r="AD24" i="32"/>
  <c r="BN24" i="32" s="1"/>
  <c r="BN22" i="32"/>
  <c r="BQ22" i="32" s="1"/>
  <c r="Z24" i="32"/>
  <c r="Z32" i="32" s="1"/>
  <c r="BI22" i="32"/>
  <c r="BL22" i="32" s="1"/>
  <c r="BI19" i="32"/>
  <c r="BB24" i="32"/>
  <c r="BB28" i="32"/>
  <c r="BD28" i="32"/>
  <c r="BD24" i="32"/>
  <c r="AU19" i="32"/>
  <c r="AU32" i="32" s="1"/>
  <c r="AQ32" i="32"/>
  <c r="AK32" i="32"/>
  <c r="AT32" i="32"/>
  <c r="AH30" i="32"/>
  <c r="T32" i="32"/>
  <c r="T33" i="32" s="1"/>
  <c r="V19" i="32"/>
  <c r="V32" i="32" s="1"/>
  <c r="AO16" i="34"/>
  <c r="AO22" i="34"/>
  <c r="AO27" i="34" s="1"/>
  <c r="AO11" i="34"/>
  <c r="AO19" i="34" s="1"/>
  <c r="AB19" i="34"/>
  <c r="AB29" i="34" s="1"/>
  <c r="O19" i="34"/>
  <c r="O29" i="34" s="1"/>
  <c r="B29" i="34"/>
  <c r="X34" i="32" l="1"/>
  <c r="W34" i="32"/>
  <c r="G34" i="32"/>
  <c r="F34" i="32"/>
  <c r="E34" i="32"/>
  <c r="AW34" i="32"/>
  <c r="AV34" i="32"/>
  <c r="AU34" i="32"/>
  <c r="AD32" i="32"/>
  <c r="BB32" i="32"/>
  <c r="AH32" i="32"/>
  <c r="BS30" i="32"/>
  <c r="BS32" i="32" s="1"/>
  <c r="BN19" i="32"/>
  <c r="BN32" i="32" s="1"/>
  <c r="BI24" i="32"/>
  <c r="BI32" i="32" s="1"/>
  <c r="BD19" i="32"/>
  <c r="BD32" i="32" s="1"/>
  <c r="AQ31" i="34" s="1"/>
  <c r="AO29" i="34"/>
  <c r="BA14" i="34" l="1"/>
  <c r="AV14" i="34"/>
  <c r="AY14" i="34" s="1"/>
  <c r="AD16" i="34"/>
  <c r="AD11" i="34"/>
  <c r="AD19" i="34" s="1"/>
  <c r="AD29" i="34" s="1"/>
  <c r="BA13" i="34"/>
  <c r="Q22" i="34"/>
  <c r="Q27" i="34" s="1"/>
  <c r="Q16" i="34"/>
  <c r="Q11" i="34"/>
  <c r="L16" i="34"/>
  <c r="L11" i="34"/>
  <c r="H16" i="34"/>
  <c r="H11" i="34"/>
  <c r="C16" i="34"/>
  <c r="C11" i="34"/>
  <c r="BA24" i="34" l="1"/>
  <c r="L19" i="34"/>
  <c r="L29" i="34" s="1"/>
  <c r="BA11" i="34"/>
  <c r="BA16" i="34"/>
  <c r="AV13" i="34"/>
  <c r="AV24" i="34"/>
  <c r="AY24" i="34" s="1"/>
  <c r="AV16" i="34"/>
  <c r="AQ22" i="34"/>
  <c r="AQ27" i="34" s="1"/>
  <c r="Q19" i="34"/>
  <c r="Q29" i="34" s="1"/>
  <c r="H19" i="34"/>
  <c r="H29" i="34" s="1"/>
  <c r="C19" i="34"/>
  <c r="C29" i="34" s="1"/>
  <c r="BA19" i="34" l="1"/>
  <c r="BA22" i="34"/>
  <c r="BA27" i="34" s="1"/>
  <c r="BA29" i="34" s="1"/>
  <c r="AV11" i="34"/>
  <c r="AV19" i="34" s="1"/>
  <c r="AP19" i="32" l="1"/>
  <c r="AG19" i="32"/>
  <c r="BW12" i="32" l="1"/>
  <c r="BW18" i="32"/>
  <c r="BW14" i="32"/>
  <c r="U19" i="32"/>
  <c r="BW17" i="32"/>
  <c r="BW13" i="32"/>
  <c r="AP28" i="32"/>
  <c r="H15" i="39"/>
  <c r="BC19" i="32" l="1"/>
  <c r="BG19" i="32" s="1"/>
  <c r="V15" i="37"/>
  <c r="V16" i="37"/>
  <c r="V17" i="37"/>
  <c r="V18" i="37"/>
  <c r="V19" i="37"/>
  <c r="V20" i="37"/>
  <c r="V21" i="37"/>
  <c r="V22" i="37"/>
  <c r="V23" i="37"/>
  <c r="V24" i="37"/>
  <c r="V25" i="37"/>
  <c r="V26" i="37"/>
  <c r="V27" i="37"/>
  <c r="V28" i="37"/>
  <c r="V29" i="37"/>
  <c r="V30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R23" i="37"/>
  <c r="R24" i="37"/>
  <c r="R25" i="37"/>
  <c r="R26" i="37"/>
  <c r="R27" i="37"/>
  <c r="R28" i="37"/>
  <c r="R29" i="37"/>
  <c r="R30" i="37"/>
  <c r="R31" i="37"/>
  <c r="R32" i="37"/>
  <c r="R33" i="37"/>
  <c r="R34" i="37"/>
  <c r="R35" i="37"/>
  <c r="R36" i="37"/>
  <c r="R37" i="37"/>
  <c r="R38" i="37"/>
  <c r="R39" i="37"/>
  <c r="R40" i="37"/>
  <c r="R41" i="37"/>
  <c r="N23" i="37"/>
  <c r="N24" i="37"/>
  <c r="N25" i="37"/>
  <c r="N26" i="37"/>
  <c r="N27" i="37"/>
  <c r="N28" i="37"/>
  <c r="N29" i="37"/>
  <c r="N30" i="37"/>
  <c r="N31" i="37"/>
  <c r="N32" i="37"/>
  <c r="AG13" i="34" l="1"/>
  <c r="T13" i="34"/>
  <c r="AU13" i="34" l="1"/>
  <c r="AY13" i="34" s="1"/>
  <c r="A45" i="37"/>
  <c r="A46" i="37" s="1"/>
  <c r="A47" i="37" s="1"/>
  <c r="F23" i="37"/>
  <c r="F24" i="37"/>
  <c r="F25" i="37"/>
  <c r="F26" i="37"/>
  <c r="F27" i="37"/>
  <c r="F28" i="37"/>
  <c r="F29" i="37"/>
  <c r="F30" i="37"/>
  <c r="F31" i="37"/>
  <c r="F32" i="37"/>
  <c r="F33" i="37"/>
  <c r="F34" i="37"/>
  <c r="F35" i="37"/>
  <c r="F36" i="37"/>
  <c r="T22" i="34" l="1"/>
  <c r="T11" i="34"/>
  <c r="P11" i="34"/>
  <c r="AV22" i="34" l="1"/>
  <c r="AV27" i="34" s="1"/>
  <c r="AV29" i="34" s="1"/>
  <c r="T27" i="34"/>
  <c r="AU22" i="34"/>
  <c r="AU27" i="34" s="1"/>
  <c r="P22" i="34"/>
  <c r="AP22" i="34" l="1"/>
  <c r="AP27" i="34" s="1"/>
  <c r="P27" i="34"/>
  <c r="AT22" i="34"/>
  <c r="AT27" i="34" s="1"/>
  <c r="AY22" i="34"/>
  <c r="AY27" i="34" s="1"/>
  <c r="G3" i="41" l="1"/>
  <c r="D3" i="41"/>
  <c r="E3" i="41" s="1"/>
  <c r="D7" i="41"/>
  <c r="C7" i="41"/>
  <c r="D5" i="40"/>
  <c r="E5" i="40"/>
  <c r="F5" i="40"/>
  <c r="B6" i="40"/>
  <c r="C6" i="40"/>
  <c r="E6" i="40" s="1"/>
  <c r="E7" i="40" s="1"/>
  <c r="B7" i="40"/>
  <c r="C7" i="40"/>
  <c r="D7" i="40"/>
  <c r="B13" i="40"/>
  <c r="C13" i="40"/>
  <c r="E13" i="40" s="1"/>
  <c r="E14" i="40" s="1"/>
  <c r="F13" i="40"/>
  <c r="F14" i="40" s="1"/>
  <c r="B14" i="40"/>
  <c r="C14" i="40"/>
  <c r="D14" i="40"/>
  <c r="G8" i="41" l="1"/>
  <c r="I3" i="41"/>
  <c r="E7" i="41"/>
  <c r="I7" i="41" s="1"/>
  <c r="F6" i="40"/>
  <c r="F7" i="40" s="1"/>
  <c r="L165" i="39" l="1"/>
  <c r="BW30" i="32" l="1"/>
  <c r="V47" i="37" l="1"/>
  <c r="V46" i="37"/>
  <c r="V45" i="37"/>
  <c r="V44" i="37"/>
  <c r="U43" i="37"/>
  <c r="T43" i="37"/>
  <c r="S43" i="37"/>
  <c r="V42" i="37"/>
  <c r="V41" i="37"/>
  <c r="V40" i="37"/>
  <c r="V39" i="37"/>
  <c r="V38" i="37"/>
  <c r="V37" i="37"/>
  <c r="V36" i="37"/>
  <c r="V35" i="37"/>
  <c r="V34" i="37"/>
  <c r="V33" i="37"/>
  <c r="V32" i="37"/>
  <c r="V31" i="37"/>
  <c r="V14" i="37"/>
  <c r="V13" i="37"/>
  <c r="U12" i="37"/>
  <c r="T12" i="37"/>
  <c r="S12" i="37"/>
  <c r="V11" i="37"/>
  <c r="V10" i="37"/>
  <c r="V9" i="37"/>
  <c r="V8" i="37"/>
  <c r="V7" i="37"/>
  <c r="V6" i="37"/>
  <c r="V5" i="37"/>
  <c r="U4" i="37"/>
  <c r="T4" i="37"/>
  <c r="S4" i="37"/>
  <c r="O43" i="37"/>
  <c r="O12" i="37"/>
  <c r="O4" i="37"/>
  <c r="O3" i="37" l="1"/>
  <c r="S3" i="37"/>
  <c r="T3" i="37"/>
  <c r="U3" i="37"/>
  <c r="V43" i="37"/>
  <c r="V12" i="37"/>
  <c r="V4" i="37"/>
  <c r="V3" i="37" l="1"/>
  <c r="AK14" i="34" l="1"/>
  <c r="AZ14" i="34" s="1"/>
  <c r="BD14" i="34" s="1"/>
  <c r="AG11" i="34" l="1"/>
  <c r="AC11" i="34"/>
  <c r="C4" i="41"/>
  <c r="C6" i="41" l="1"/>
  <c r="AP11" i="34"/>
  <c r="D6" i="41"/>
  <c r="E6" i="41" s="1"/>
  <c r="I6" i="41" s="1"/>
  <c r="D4" i="41"/>
  <c r="E4" i="41" s="1"/>
  <c r="I4" i="41" l="1"/>
  <c r="R47" i="37" l="1"/>
  <c r="J47" i="37"/>
  <c r="F47" i="37"/>
  <c r="R46" i="37"/>
  <c r="J46" i="37"/>
  <c r="F46" i="37"/>
  <c r="R45" i="37"/>
  <c r="J45" i="37"/>
  <c r="F45" i="37"/>
  <c r="R44" i="37"/>
  <c r="J44" i="37"/>
  <c r="F44" i="37"/>
  <c r="Q43" i="37"/>
  <c r="P43" i="37"/>
  <c r="I43" i="37"/>
  <c r="H43" i="37"/>
  <c r="G43" i="37"/>
  <c r="E43" i="37"/>
  <c r="D43" i="37"/>
  <c r="C43" i="37"/>
  <c r="R42" i="37"/>
  <c r="F42" i="37"/>
  <c r="F41" i="37"/>
  <c r="F40" i="37"/>
  <c r="F39" i="37"/>
  <c r="F38" i="37"/>
  <c r="F37" i="37"/>
  <c r="R22" i="37"/>
  <c r="F22" i="37"/>
  <c r="R21" i="37"/>
  <c r="F21" i="37"/>
  <c r="R20" i="37"/>
  <c r="F20" i="37"/>
  <c r="R19" i="37"/>
  <c r="F19" i="37"/>
  <c r="R18" i="37"/>
  <c r="F18" i="37"/>
  <c r="R17" i="37"/>
  <c r="F17" i="37"/>
  <c r="R16" i="37"/>
  <c r="F16" i="37"/>
  <c r="R15" i="37"/>
  <c r="F15" i="37"/>
  <c r="R14" i="37"/>
  <c r="F14" i="37"/>
  <c r="R13" i="37"/>
  <c r="F13" i="37"/>
  <c r="Q12" i="37"/>
  <c r="P12" i="37"/>
  <c r="E12" i="37"/>
  <c r="D12" i="37"/>
  <c r="C12" i="37"/>
  <c r="R11" i="37"/>
  <c r="R10" i="37"/>
  <c r="R9" i="37"/>
  <c r="R8" i="37"/>
  <c r="R7" i="37"/>
  <c r="R6" i="37"/>
  <c r="R5" i="37"/>
  <c r="Q4" i="37"/>
  <c r="P4" i="37"/>
  <c r="E4" i="37"/>
  <c r="C4" i="37"/>
  <c r="R43" i="37" l="1"/>
  <c r="F43" i="37"/>
  <c r="C3" i="37"/>
  <c r="E3" i="37"/>
  <c r="J43" i="37"/>
  <c r="R12" i="37"/>
  <c r="P3" i="37"/>
  <c r="Q3" i="37"/>
  <c r="R4" i="37"/>
  <c r="F12" i="37"/>
  <c r="J42" i="37" l="1"/>
  <c r="G12" i="37"/>
  <c r="J38" i="37"/>
  <c r="K43" i="37"/>
  <c r="J33" i="37"/>
  <c r="N45" i="37"/>
  <c r="J13" i="37"/>
  <c r="J34" i="37"/>
  <c r="J36" i="37"/>
  <c r="AK40" i="37"/>
  <c r="J40" i="37"/>
  <c r="L43" i="37"/>
  <c r="J41" i="37"/>
  <c r="N46" i="37"/>
  <c r="N47" i="37"/>
  <c r="J37" i="37"/>
  <c r="J32" i="37"/>
  <c r="R3" i="37"/>
  <c r="M43" i="37" l="1"/>
  <c r="J39" i="37"/>
  <c r="N34" i="37"/>
  <c r="N44" i="37"/>
  <c r="N43" i="37" s="1"/>
  <c r="H12" i="37"/>
  <c r="AK15" i="34"/>
  <c r="AZ15" i="34" s="1"/>
  <c r="BD15" i="34" s="1"/>
  <c r="N41" i="37" l="1"/>
  <c r="N15" i="37"/>
  <c r="N19" i="37"/>
  <c r="N38" i="37"/>
  <c r="N20" i="37"/>
  <c r="N40" i="37"/>
  <c r="J35" i="37"/>
  <c r="J12" i="37" s="1"/>
  <c r="N14" i="37"/>
  <c r="N37" i="37"/>
  <c r="N33" i="37"/>
  <c r="N42" i="37"/>
  <c r="N22" i="37"/>
  <c r="I12" i="37"/>
  <c r="N36" i="37"/>
  <c r="N17" i="37"/>
  <c r="N16" i="37"/>
  <c r="D5" i="41"/>
  <c r="N39" i="37" l="1"/>
  <c r="K12" i="37"/>
  <c r="N18" i="37"/>
  <c r="N13" i="37"/>
  <c r="N21" i="37" l="1"/>
  <c r="M12" i="37"/>
  <c r="T10" i="34"/>
  <c r="AU10" i="34" l="1"/>
  <c r="AY10" i="34" s="1"/>
  <c r="N35" i="37"/>
  <c r="N12" i="37" s="1"/>
  <c r="L12" i="37"/>
  <c r="AK24" i="34" l="1"/>
  <c r="AK23" i="34"/>
  <c r="AZ23" i="34" l="1"/>
  <c r="BD23" i="34" s="1"/>
  <c r="BL23" i="34" s="1"/>
  <c r="AU8" i="34"/>
  <c r="AY8" i="34" s="1"/>
  <c r="G16" i="34" l="1"/>
  <c r="G11" i="34" l="1"/>
  <c r="D11" i="34"/>
  <c r="AQ11" i="34" s="1"/>
  <c r="AT11" i="34" l="1"/>
  <c r="AU11" i="34"/>
  <c r="AY11" i="34" l="1"/>
  <c r="K17" i="34"/>
  <c r="AZ17" i="34" s="1"/>
  <c r="BD17" i="34" s="1"/>
  <c r="AK16" i="34" l="1"/>
  <c r="AG16" i="34" l="1"/>
  <c r="AG19" i="34" s="1"/>
  <c r="AC16" i="34"/>
  <c r="AC19" i="34" s="1"/>
  <c r="X16" i="34"/>
  <c r="T16" i="34"/>
  <c r="T19" i="34" l="1"/>
  <c r="AU16" i="34"/>
  <c r="AU19" i="34" s="1"/>
  <c r="AU29" i="34" s="1"/>
  <c r="AY16" i="34" l="1"/>
  <c r="AY19" i="34" s="1"/>
  <c r="AY29" i="34" s="1"/>
  <c r="BK13" i="34"/>
  <c r="K18" i="34"/>
  <c r="AZ18" i="34" s="1"/>
  <c r="BD18" i="34" s="1"/>
  <c r="P16" i="34"/>
  <c r="G19" i="34"/>
  <c r="AK12" i="34"/>
  <c r="AZ12" i="34" s="1"/>
  <c r="BD12" i="34" s="1"/>
  <c r="X13" i="34"/>
  <c r="P19" i="34" l="1"/>
  <c r="AP16" i="34"/>
  <c r="K16" i="34"/>
  <c r="X11" i="34"/>
  <c r="AK13" i="34"/>
  <c r="AZ13" i="34" s="1"/>
  <c r="BD13" i="34" s="1"/>
  <c r="AP19" i="34" l="1"/>
  <c r="AP29" i="34" s="1"/>
  <c r="K19" i="34"/>
  <c r="AZ16" i="34"/>
  <c r="BD16" i="34" s="1"/>
  <c r="AK11" i="34"/>
  <c r="AZ11" i="34" s="1"/>
  <c r="BL12" i="34"/>
  <c r="BD11" i="34" l="1"/>
  <c r="BL13" i="34"/>
  <c r="BL11" i="34" l="1"/>
  <c r="X10" i="34" l="1"/>
  <c r="AK6" i="34"/>
  <c r="AZ6" i="34" s="1"/>
  <c r="BD6" i="34" l="1"/>
  <c r="AK10" i="34"/>
  <c r="AZ10" i="34" s="1"/>
  <c r="BD10" i="34" s="1"/>
  <c r="AK7" i="34"/>
  <c r="AZ7" i="34" s="1"/>
  <c r="BD7" i="34" s="1"/>
  <c r="X9" i="34"/>
  <c r="AZ9" i="34" s="1"/>
  <c r="BD9" i="34" s="1"/>
  <c r="AK19" i="34" l="1"/>
  <c r="X8" i="34"/>
  <c r="X19" i="34" l="1"/>
  <c r="AZ8" i="34"/>
  <c r="AZ19" i="34" s="1"/>
  <c r="BD8" i="34" l="1"/>
  <c r="BD19" i="34" s="1"/>
  <c r="BL15" i="34"/>
  <c r="AL28" i="32" l="1"/>
  <c r="AG28" i="32"/>
  <c r="AC28" i="32"/>
  <c r="AC32" i="32" s="1"/>
  <c r="Y28" i="32"/>
  <c r="U28" i="32"/>
  <c r="BC28" i="32" s="1"/>
  <c r="BG28" i="32" s="1"/>
  <c r="P28" i="32"/>
  <c r="BR28" i="32" s="1"/>
  <c r="BV28" i="32" s="1"/>
  <c r="L28" i="32"/>
  <c r="BM28" i="32" s="1"/>
  <c r="BQ28" i="32" s="1"/>
  <c r="H28" i="32"/>
  <c r="BW26" i="32"/>
  <c r="P19" i="32"/>
  <c r="P32" i="32" s="1"/>
  <c r="L19" i="32"/>
  <c r="H19" i="32"/>
  <c r="BH19" i="32" s="1"/>
  <c r="BL19" i="32" s="1"/>
  <c r="BL38" i="32" s="1"/>
  <c r="K29" i="34"/>
  <c r="BM19" i="32" l="1"/>
  <c r="BQ19" i="32" s="1"/>
  <c r="L32" i="32"/>
  <c r="S34" i="32"/>
  <c r="R34" i="32"/>
  <c r="Q34" i="32"/>
  <c r="BR19" i="32"/>
  <c r="BV19" i="32" s="1"/>
  <c r="BH28" i="32"/>
  <c r="BL28" i="32" s="1"/>
  <c r="AG30" i="32"/>
  <c r="BR30" i="32" s="1"/>
  <c r="BV30" i="32" s="1"/>
  <c r="BQ38" i="32"/>
  <c r="BG38" i="32"/>
  <c r="BL5" i="34"/>
  <c r="BL6" i="34"/>
  <c r="BL9" i="34"/>
  <c r="BL7" i="34"/>
  <c r="BL8" i="34"/>
  <c r="BL10" i="34"/>
  <c r="BJ8" i="34"/>
  <c r="BJ5" i="34"/>
  <c r="BI9" i="34"/>
  <c r="BI10" i="34"/>
  <c r="BW9" i="32"/>
  <c r="AC29" i="34"/>
  <c r="BW6" i="32"/>
  <c r="BW27" i="32"/>
  <c r="AG29" i="34"/>
  <c r="G29" i="34"/>
  <c r="O34" i="32" l="1"/>
  <c r="M34" i="32"/>
  <c r="L34" i="32"/>
  <c r="N34" i="32"/>
  <c r="AG32" i="32"/>
  <c r="BW19" i="32"/>
  <c r="BW38" i="32" s="1"/>
  <c r="BW28" i="32"/>
  <c r="AK29" i="34"/>
  <c r="M29" i="36" l="1"/>
  <c r="L30" i="36"/>
  <c r="B11" i="36" l="1"/>
  <c r="C38" i="36" l="1"/>
  <c r="C31" i="36"/>
  <c r="O25" i="36" l="1"/>
  <c r="M25" i="36"/>
  <c r="L25" i="36"/>
  <c r="H25" i="36"/>
  <c r="J25" i="36"/>
  <c r="G25" i="36"/>
  <c r="H19" i="36"/>
  <c r="O13" i="36" l="1"/>
  <c r="M13" i="36"/>
  <c r="L13" i="36"/>
  <c r="G13" i="36"/>
  <c r="J13" i="36"/>
  <c r="H13" i="36"/>
  <c r="S16" i="36" l="1"/>
  <c r="S15" i="36"/>
  <c r="S14" i="36"/>
  <c r="S13" i="36"/>
  <c r="S12" i="36"/>
  <c r="S11" i="36"/>
  <c r="S10" i="36"/>
  <c r="S9" i="36"/>
  <c r="S8" i="36"/>
  <c r="S7" i="36"/>
  <c r="S6" i="36"/>
  <c r="S5" i="36"/>
  <c r="S4" i="36"/>
  <c r="G4" i="36"/>
  <c r="G3" i="36"/>
  <c r="S25" i="36" l="1"/>
  <c r="O21" i="36" l="1"/>
  <c r="M21" i="36"/>
  <c r="L21" i="36"/>
  <c r="C21" i="36"/>
  <c r="B21" i="36"/>
  <c r="F21" i="36" s="1"/>
  <c r="P20" i="36"/>
  <c r="N20" i="36"/>
  <c r="J20" i="36"/>
  <c r="K20" i="36" s="1"/>
  <c r="H20" i="36"/>
  <c r="G20" i="36"/>
  <c r="Q20" i="36" s="1"/>
  <c r="F20" i="36"/>
  <c r="D20" i="36"/>
  <c r="U19" i="36"/>
  <c r="U21" i="36" s="1"/>
  <c r="P19" i="36"/>
  <c r="N19" i="36"/>
  <c r="I19" i="36"/>
  <c r="S19" i="36"/>
  <c r="G19" i="36"/>
  <c r="G21" i="36" s="1"/>
  <c r="F19" i="36"/>
  <c r="D19" i="36"/>
  <c r="O17" i="36"/>
  <c r="M17" i="36"/>
  <c r="L17" i="36"/>
  <c r="H17" i="36"/>
  <c r="G17" i="36"/>
  <c r="E17" i="36"/>
  <c r="E23" i="36" s="1"/>
  <c r="C17" i="36"/>
  <c r="U16" i="36"/>
  <c r="Q16" i="36"/>
  <c r="T16" i="36" s="1"/>
  <c r="P16" i="36"/>
  <c r="N16" i="36"/>
  <c r="K16" i="36"/>
  <c r="I16" i="36"/>
  <c r="F16" i="36"/>
  <c r="D16" i="36"/>
  <c r="U15" i="36"/>
  <c r="Q15" i="36"/>
  <c r="P15" i="36"/>
  <c r="N15" i="36"/>
  <c r="K15" i="36"/>
  <c r="I15" i="36"/>
  <c r="F15" i="36"/>
  <c r="D15" i="36"/>
  <c r="U14" i="36"/>
  <c r="Q14" i="36"/>
  <c r="P14" i="36"/>
  <c r="N14" i="36"/>
  <c r="K14" i="36"/>
  <c r="I14" i="36"/>
  <c r="F14" i="36"/>
  <c r="D14" i="36"/>
  <c r="U13" i="36"/>
  <c r="Q13" i="36"/>
  <c r="P13" i="36"/>
  <c r="N13" i="36"/>
  <c r="K13" i="36"/>
  <c r="I13" i="36"/>
  <c r="F13" i="36"/>
  <c r="D13" i="36"/>
  <c r="U12" i="36"/>
  <c r="Q12" i="36"/>
  <c r="P12" i="36"/>
  <c r="N12" i="36"/>
  <c r="K12" i="36"/>
  <c r="I12" i="36"/>
  <c r="F12" i="36"/>
  <c r="D12" i="36"/>
  <c r="U11" i="36"/>
  <c r="Q11" i="36"/>
  <c r="P11" i="36"/>
  <c r="K11" i="36"/>
  <c r="I11" i="36"/>
  <c r="D11" i="36"/>
  <c r="U10" i="36"/>
  <c r="Q10" i="36"/>
  <c r="P10" i="36"/>
  <c r="N10" i="36"/>
  <c r="K10" i="36"/>
  <c r="I10" i="36"/>
  <c r="F10" i="36"/>
  <c r="D10" i="36"/>
  <c r="U9" i="36"/>
  <c r="Q9" i="36"/>
  <c r="T9" i="36" s="1"/>
  <c r="P9" i="36"/>
  <c r="N9" i="36"/>
  <c r="K9" i="36"/>
  <c r="I9" i="36"/>
  <c r="F9" i="36"/>
  <c r="D9" i="36"/>
  <c r="U8" i="36"/>
  <c r="Q8" i="36"/>
  <c r="P8" i="36"/>
  <c r="K8" i="36"/>
  <c r="I8" i="36"/>
  <c r="F8" i="36"/>
  <c r="D8" i="36"/>
  <c r="U7" i="36"/>
  <c r="Q7" i="36"/>
  <c r="T7" i="36" s="1"/>
  <c r="P7" i="36"/>
  <c r="N7" i="36"/>
  <c r="K7" i="36"/>
  <c r="I7" i="36"/>
  <c r="F7" i="36"/>
  <c r="D7" i="36"/>
  <c r="U6" i="36"/>
  <c r="Q6" i="36"/>
  <c r="P6" i="36"/>
  <c r="N6" i="36"/>
  <c r="K6" i="36"/>
  <c r="I6" i="36"/>
  <c r="F6" i="36"/>
  <c r="D6" i="36"/>
  <c r="U5" i="36"/>
  <c r="Q5" i="36"/>
  <c r="P5" i="36"/>
  <c r="N5" i="36"/>
  <c r="K5" i="36"/>
  <c r="I5" i="36"/>
  <c r="F5" i="36"/>
  <c r="D5" i="36"/>
  <c r="U4" i="36"/>
  <c r="Q4" i="36"/>
  <c r="P4" i="36"/>
  <c r="N4" i="36"/>
  <c r="K4" i="36"/>
  <c r="I4" i="36"/>
  <c r="F4" i="36"/>
  <c r="D4" i="36"/>
  <c r="S3" i="36"/>
  <c r="Q3" i="36"/>
  <c r="P3" i="36"/>
  <c r="N3" i="36"/>
  <c r="J3" i="36"/>
  <c r="J17" i="36" s="1"/>
  <c r="I3" i="36"/>
  <c r="F3" i="36"/>
  <c r="D3" i="36"/>
  <c r="N17" i="36" l="1"/>
  <c r="O23" i="36"/>
  <c r="V16" i="36"/>
  <c r="V6" i="36"/>
  <c r="V15" i="36"/>
  <c r="F11" i="36"/>
  <c r="P21" i="36"/>
  <c r="Q25" i="36"/>
  <c r="V20" i="36"/>
  <c r="V9" i="36"/>
  <c r="T10" i="36"/>
  <c r="T11" i="36"/>
  <c r="V14" i="36"/>
  <c r="L23" i="36"/>
  <c r="K19" i="36"/>
  <c r="I20" i="36"/>
  <c r="H21" i="36"/>
  <c r="H23" i="36" s="1"/>
  <c r="V10" i="36"/>
  <c r="U25" i="36"/>
  <c r="B17" i="36"/>
  <c r="B23" i="36" s="1"/>
  <c r="F23" i="36" s="1"/>
  <c r="Q19" i="36"/>
  <c r="Q21" i="36" s="1"/>
  <c r="N21" i="36"/>
  <c r="S20" i="36"/>
  <c r="T20" i="36" s="1"/>
  <c r="T3" i="36"/>
  <c r="V5" i="36"/>
  <c r="T6" i="36"/>
  <c r="D21" i="36"/>
  <c r="V11" i="36"/>
  <c r="T5" i="36"/>
  <c r="T13" i="36"/>
  <c r="G23" i="36"/>
  <c r="I17" i="36"/>
  <c r="K17" i="36"/>
  <c r="T4" i="36"/>
  <c r="T12" i="36"/>
  <c r="V12" i="36"/>
  <c r="V13" i="36"/>
  <c r="T14" i="36"/>
  <c r="V4" i="36"/>
  <c r="T8" i="36"/>
  <c r="T15" i="36"/>
  <c r="Q17" i="36"/>
  <c r="S17" i="36"/>
  <c r="U3" i="36"/>
  <c r="C23" i="36"/>
  <c r="K3" i="36"/>
  <c r="F17" i="36"/>
  <c r="J21" i="36"/>
  <c r="M23" i="36"/>
  <c r="P17" i="36"/>
  <c r="P23" i="36" l="1"/>
  <c r="I21" i="36"/>
  <c r="V19" i="36"/>
  <c r="D23" i="36"/>
  <c r="S21" i="36"/>
  <c r="S23" i="36" s="1"/>
  <c r="N23" i="36"/>
  <c r="T19" i="36"/>
  <c r="V21" i="36"/>
  <c r="R21" i="36"/>
  <c r="D17" i="36"/>
  <c r="I23" i="36"/>
  <c r="T17" i="36"/>
  <c r="Q23" i="36"/>
  <c r="R19" i="36" s="1"/>
  <c r="T21" i="36"/>
  <c r="V3" i="36"/>
  <c r="U17" i="36"/>
  <c r="K21" i="36"/>
  <c r="J23" i="36"/>
  <c r="K23" i="36" s="1"/>
  <c r="R17" i="36" l="1"/>
  <c r="R23" i="36"/>
  <c r="R4" i="36"/>
  <c r="R12" i="36"/>
  <c r="R10" i="36"/>
  <c r="R13" i="36"/>
  <c r="R7" i="36"/>
  <c r="R11" i="36"/>
  <c r="R3" i="36"/>
  <c r="R8" i="36"/>
  <c r="R14" i="36"/>
  <c r="R9" i="36"/>
  <c r="R20" i="36"/>
  <c r="R15" i="36"/>
  <c r="R5" i="36"/>
  <c r="R16" i="36"/>
  <c r="R6" i="36"/>
  <c r="T23" i="36"/>
  <c r="V17" i="36"/>
  <c r="U23" i="36"/>
  <c r="V23" i="36" s="1"/>
  <c r="AL24" i="32" l="1"/>
  <c r="AL32" i="32" s="1"/>
  <c r="D16" i="34" l="1"/>
  <c r="AQ16" i="34" s="1"/>
  <c r="AQ19" i="34" s="1"/>
  <c r="AQ29" i="34" s="1"/>
  <c r="AT16" i="34" l="1"/>
  <c r="AT19" i="34" s="1"/>
  <c r="AT29" i="34" s="1"/>
  <c r="D19" i="34"/>
  <c r="D29" i="34" l="1"/>
  <c r="BL16" i="34"/>
  <c r="C5" i="41" l="1"/>
  <c r="E5" i="41" s="1"/>
  <c r="I5" i="41" l="1"/>
  <c r="I8" i="41" s="1"/>
  <c r="E8" i="41"/>
  <c r="P29" i="34"/>
  <c r="BI5" i="34" l="1"/>
  <c r="X24" i="34" l="1"/>
  <c r="AZ24" i="34" s="1"/>
  <c r="BD24" i="34" s="1"/>
  <c r="X22" i="34" l="1"/>
  <c r="AZ22" i="34" l="1"/>
  <c r="BD22" i="34" s="1"/>
  <c r="BL24" i="34"/>
  <c r="BK24" i="34"/>
  <c r="BL22" i="34" l="1"/>
  <c r="P24" i="32" l="1"/>
  <c r="P34" i="32" s="1"/>
  <c r="L24" i="32" l="1"/>
  <c r="BM24" i="32" s="1"/>
  <c r="BM32" i="32" l="1"/>
  <c r="BQ24" i="32"/>
  <c r="BQ32" i="32" s="1"/>
  <c r="U24" i="32" l="1"/>
  <c r="U32" i="32" l="1"/>
  <c r="BC24" i="32"/>
  <c r="BC32" i="32" l="1"/>
  <c r="AP31" i="34" s="1"/>
  <c r="BG24" i="32"/>
  <c r="D4" i="37"/>
  <c r="D3" i="37" s="1"/>
  <c r="F11" i="37"/>
  <c r="F6" i="37"/>
  <c r="F5" i="37"/>
  <c r="F7" i="37"/>
  <c r="F8" i="37"/>
  <c r="F9" i="37"/>
  <c r="F10" i="37"/>
  <c r="BG37" i="32" l="1"/>
  <c r="BG39" i="32" s="1"/>
  <c r="BG32" i="32"/>
  <c r="AT31" i="34" s="1"/>
  <c r="F4" i="37"/>
  <c r="F3" i="37"/>
  <c r="G4" i="37" l="1"/>
  <c r="J9" i="37"/>
  <c r="J6" i="37"/>
  <c r="J10" i="37"/>
  <c r="J7" i="37"/>
  <c r="J11" i="37" l="1"/>
  <c r="J5" i="37"/>
  <c r="H4" i="37"/>
  <c r="H3" i="37" s="1"/>
  <c r="G3" i="37"/>
  <c r="N9" i="37"/>
  <c r="J8" i="37" l="1"/>
  <c r="J4" i="37"/>
  <c r="J3" i="37" s="1"/>
  <c r="I4" i="37"/>
  <c r="I3" i="37" s="1"/>
  <c r="N7" i="37" l="1"/>
  <c r="N11" i="37"/>
  <c r="N5" i="37"/>
  <c r="K4" i="37"/>
  <c r="K3" i="37" s="1"/>
  <c r="N10" i="37"/>
  <c r="N6" i="37"/>
  <c r="L4" i="37"/>
  <c r="L3" i="37" s="1"/>
  <c r="M4" i="37" l="1"/>
  <c r="M3" i="37" s="1"/>
  <c r="N8" i="37"/>
  <c r="N4" i="37" s="1"/>
  <c r="N3" i="37" s="1"/>
  <c r="BI11" i="34" l="1"/>
  <c r="X21" i="34"/>
  <c r="X27" i="34" s="1"/>
  <c r="T29" i="34" l="1"/>
  <c r="AZ21" i="34"/>
  <c r="X29" i="34"/>
  <c r="Y31" i="34" l="1"/>
  <c r="X31" i="34"/>
  <c r="T31" i="34"/>
  <c r="U31" i="34"/>
  <c r="AZ27" i="34"/>
  <c r="AZ29" i="34" s="1"/>
  <c r="BD21" i="34"/>
  <c r="D15" i="39"/>
  <c r="F15" i="39"/>
  <c r="G15" i="39"/>
  <c r="H24" i="32"/>
  <c r="H32" i="32" s="1"/>
  <c r="K34" i="32" l="1"/>
  <c r="I34" i="32"/>
  <c r="BD27" i="34"/>
  <c r="BD29" i="34" s="1"/>
  <c r="BL21" i="34"/>
  <c r="Y24" i="32"/>
  <c r="Y32" i="32" l="1"/>
  <c r="BW21" i="32" l="1"/>
  <c r="BW22" i="32"/>
  <c r="AP24" i="32" l="1"/>
  <c r="BH24" i="32" s="1"/>
  <c r="BH32" i="32" l="1"/>
  <c r="BL24" i="32"/>
  <c r="AP32" i="32"/>
  <c r="BW23" i="32"/>
  <c r="BW24" i="32" s="1"/>
  <c r="BL32" i="32" l="1"/>
  <c r="BL37" i="32"/>
  <c r="BL39" i="32" s="1"/>
  <c r="BW37" i="32"/>
  <c r="BW39" i="32" s="1"/>
  <c r="BW32" i="32"/>
  <c r="BI6" i="34"/>
  <c r="BI7" i="34" l="1"/>
  <c r="BI16" i="34"/>
  <c r="BI19" i="34" l="1"/>
  <c r="BQ37" i="32" l="1"/>
  <c r="BQ39" i="32" l="1"/>
  <c r="BR24" i="32" l="1"/>
  <c r="BR32" i="32" l="1"/>
  <c r="BV24" i="32"/>
  <c r="BV32" i="32" s="1"/>
</calcChain>
</file>

<file path=xl/sharedStrings.xml><?xml version="1.0" encoding="utf-8"?>
<sst xmlns="http://schemas.openxmlformats.org/spreadsheetml/2006/main" count="418" uniqueCount="306">
  <si>
    <t>SAE</t>
  </si>
  <si>
    <t>Fiscal</t>
  </si>
  <si>
    <t>Parafiscal</t>
  </si>
  <si>
    <t>Consolidado</t>
  </si>
  <si>
    <t>Ingresos</t>
  </si>
  <si>
    <t>Presupuesto Fiscal</t>
  </si>
  <si>
    <t>Ejecución</t>
  </si>
  <si>
    <t xml:space="preserve">% </t>
  </si>
  <si>
    <t xml:space="preserve">Valor Recibido </t>
  </si>
  <si>
    <t>%</t>
  </si>
  <si>
    <t>Presupuesto Parafiscal</t>
  </si>
  <si>
    <t xml:space="preserve">Ejecución </t>
  </si>
  <si>
    <t>Presupuesto</t>
  </si>
  <si>
    <t>% Part.</t>
  </si>
  <si>
    <t xml:space="preserve">Apoyo al Sector Turístico para la Promoción y Competitividad Ley 1101 de 2006 a Nivel Nacional (Impuesto al Turismo) </t>
  </si>
  <si>
    <t>Recursos Desarrollo de estrategias con enfoque territorial para la Promoción y Competitividad Turística a nivel Nacional</t>
  </si>
  <si>
    <t>Asistencia para procesos de análisis sectorial de turismo a nivel nacional por parte de MINCIT</t>
  </si>
  <si>
    <t>Recaudo Contribución Parafiscal</t>
  </si>
  <si>
    <t>Mayor recaudo Contribución Parafiscal vigencia anterior</t>
  </si>
  <si>
    <t>Recaudo Mutlas 2019</t>
  </si>
  <si>
    <t>Recaudo Multas Vigencia Anterior</t>
  </si>
  <si>
    <t>Rendimientos Financieros - Cuenta Bancaria</t>
  </si>
  <si>
    <t>Ingresos bienes recibidos Fontur</t>
  </si>
  <si>
    <t>Saldos disponibles Vigencia Anterior</t>
  </si>
  <si>
    <t>Rendimientos en portafolio y Remanentes vigencias anteriores</t>
  </si>
  <si>
    <t>Liberaciones Infraestructura</t>
  </si>
  <si>
    <t>Liberaciones Competitividad</t>
  </si>
  <si>
    <t>Liberaciones Escnna</t>
  </si>
  <si>
    <t>Total Ingresos</t>
  </si>
  <si>
    <t>Ingresos por Hotel El Isleño, Hotel Hacaritama. Hostal Doña Manuela, SPA Providencia y saldos no ejecutados 2018</t>
  </si>
  <si>
    <t>Recursos CNT</t>
  </si>
  <si>
    <t xml:space="preserve">Total </t>
  </si>
  <si>
    <t>Bienes SAE</t>
  </si>
  <si>
    <t>Fuente Fiscal</t>
  </si>
  <si>
    <t>Fuente Parafiscal</t>
  </si>
  <si>
    <t>Total 
Presupuesto</t>
  </si>
  <si>
    <t>Total 
Ejecución</t>
  </si>
  <si>
    <t xml:space="preserve">Total
Valor Recibido </t>
  </si>
  <si>
    <t xml:space="preserve">DISPONIBLE </t>
  </si>
  <si>
    <t>Apoyo al Sector Turístico para la Promoción y Competitividad Ley 1101 de 2006 a Nivel Nacional  (Impuesto al Turismo)</t>
  </si>
  <si>
    <t>Recaudo Contribución Parafiscal vigencia Actual</t>
  </si>
  <si>
    <t>Proyectos Aprobados</t>
  </si>
  <si>
    <t>Mayor Recaudo Contribución Parafiscal Vigencia Anterior</t>
  </si>
  <si>
    <t>Disponible Presupuesto</t>
  </si>
  <si>
    <t>Recaudo Multas Vigencia 2023</t>
  </si>
  <si>
    <t>Fiscales sin Caja</t>
  </si>
  <si>
    <t>Saldos Disponibles Vigencia Anterior</t>
  </si>
  <si>
    <t>Parafiscales sin Caja</t>
  </si>
  <si>
    <t>Rendimientos financieros</t>
  </si>
  <si>
    <t>CNT sin Caja</t>
  </si>
  <si>
    <t>Rendimientos en cuenta bancaria Vigencia anterior</t>
  </si>
  <si>
    <t>Rendimientos en cuenta bancaria Vigencia Actual</t>
  </si>
  <si>
    <t>Rendimientos en FIC</t>
  </si>
  <si>
    <t>Liberaciones- Vigencias anteriores</t>
  </si>
  <si>
    <t>Rendimientos sin Caja</t>
  </si>
  <si>
    <t>Otros ingresos Vigencia anterior</t>
  </si>
  <si>
    <t>Otros ingresos Vigencia actual</t>
  </si>
  <si>
    <t>Ingresos por Hotel El Isleño, Hotel Hacaritama. Hostal Doña Manuela, SPA Providencia - vigencia actual</t>
  </si>
  <si>
    <t xml:space="preserve">Rendimientos en cuenta bancaria </t>
  </si>
  <si>
    <t xml:space="preserve">Saldos Disponibles Vigencia Anterior </t>
  </si>
  <si>
    <t>Liberaciones</t>
  </si>
  <si>
    <t>Cifras en millones de pesos</t>
  </si>
  <si>
    <t>TOTAL</t>
  </si>
  <si>
    <t>Ejecutado por Causación</t>
  </si>
  <si>
    <t>Presupuesto 
Parafiscal</t>
  </si>
  <si>
    <t>Proyectos aprobados y/o  Comprometido</t>
  </si>
  <si>
    <t>Saldo Total por aprobar y/o Comprometer</t>
  </si>
  <si>
    <t xml:space="preserve">Inversión </t>
  </si>
  <si>
    <t xml:space="preserve">Mejoramiento de la Competitividad Turística </t>
  </si>
  <si>
    <t>Fortalecimiento de la Promoción y el Mercadeo Turístico</t>
  </si>
  <si>
    <t>Inversión Territorial</t>
  </si>
  <si>
    <t>Turismo Responsable</t>
  </si>
  <si>
    <t xml:space="preserve">Infraestructura Turística </t>
  </si>
  <si>
    <t>Apoyo a la cadena de valor del sector turismo en situaciones de emergencia</t>
  </si>
  <si>
    <t>Subtotal Inversión</t>
  </si>
  <si>
    <t>Funcionamiento</t>
  </si>
  <si>
    <t xml:space="preserve"> Gastos de Personal</t>
  </si>
  <si>
    <t xml:space="preserve"> Gastos Generales</t>
  </si>
  <si>
    <t xml:space="preserve"> Asesorías Externas</t>
  </si>
  <si>
    <t xml:space="preserve">Subtotal Funcionamiento </t>
  </si>
  <si>
    <t>Administración, Mantenimiento y Venta de Bienes Turísticos</t>
  </si>
  <si>
    <t>Recursos por asignar</t>
  </si>
  <si>
    <t>CONCEPTO</t>
  </si>
  <si>
    <t>Presupuesto 
Fiscal</t>
  </si>
  <si>
    <t>Presupuesto Empresa 72</t>
  </si>
  <si>
    <t>Presupuesto Total</t>
  </si>
  <si>
    <t>Disponibilidades Parafiscal</t>
  </si>
  <si>
    <t>Disponibilidades
 Fiscal</t>
  </si>
  <si>
    <t>Disponibilidades Empresa 72</t>
  </si>
  <si>
    <t>Total Disponibilidades</t>
  </si>
  <si>
    <t>Contratación 
Parafiscal</t>
  </si>
  <si>
    <t>Contratación 
Fiscal</t>
  </si>
  <si>
    <t>Contratación Empresa 72</t>
  </si>
  <si>
    <t>Total Contratación</t>
  </si>
  <si>
    <t>Ejecutado por  Causación  Parafiscal</t>
  </si>
  <si>
    <t>Ejecutado por  Causación Fiscal</t>
  </si>
  <si>
    <t>Ejecutado por  Causación  72</t>
  </si>
  <si>
    <t xml:space="preserve">Total Ejecución por Causación </t>
  </si>
  <si>
    <t>Total pagado  Parafiscal</t>
  </si>
  <si>
    <t>Total pagado Fiscal</t>
  </si>
  <si>
    <t>Total pagado  72</t>
  </si>
  <si>
    <t>Total Pagado</t>
  </si>
  <si>
    <t>FUNCIONAMIENTO</t>
  </si>
  <si>
    <t>GASTOS DE PERSONAL</t>
  </si>
  <si>
    <t>GASTOS GENERALES</t>
  </si>
  <si>
    <t>ASESORÍAS EXTERNAS</t>
  </si>
  <si>
    <t>Codigo Proyecto</t>
  </si>
  <si>
    <t>Línea</t>
  </si>
  <si>
    <t>Fuente</t>
  </si>
  <si>
    <t xml:space="preserve">Ejecutado por Causación </t>
  </si>
  <si>
    <t>Valor Pagado</t>
  </si>
  <si>
    <t>Cifras en COP millones</t>
  </si>
  <si>
    <t>Territorios Turísticos de Paz</t>
  </si>
  <si>
    <t>Mejoramiento de la competitividad turística</t>
  </si>
  <si>
    <t>CÓDIGO Y NOMBRE PROYECTO</t>
  </si>
  <si>
    <t xml:space="preserve">Valor Contratado
</t>
  </si>
  <si>
    <t>(A) Presupuesto
Empresa 72
Bienes SAE</t>
  </si>
  <si>
    <t>(B) Tota Ingresos
Empresa 72 
Bienes SAE</t>
  </si>
  <si>
    <t>(C) Registro Egresos por concepto de remuneración Fiduciaria</t>
  </si>
  <si>
    <t>Valor Disponible Recursos Bienes SAE ( B-C)</t>
  </si>
  <si>
    <t>Valor Recursos Presupuestados no recibidos (A-B) *</t>
  </si>
  <si>
    <t>(C) Traslado de Recursos a Inversión Linea Infraestructura</t>
  </si>
  <si>
    <t>Valor presupuesto apropiado a diciembre 2023</t>
  </si>
  <si>
    <t>Valor recaudo a diciembre 2023</t>
  </si>
  <si>
    <t>Mayor valor recibido a diciembre 2023</t>
  </si>
  <si>
    <t>Valor apropiado presupuesto 2024</t>
  </si>
  <si>
    <t>Fiscal-CNT</t>
  </si>
  <si>
    <t>Concepto Ingresos</t>
  </si>
  <si>
    <t>Total, mayor valor recibido en el presupuesto 2023</t>
  </si>
  <si>
    <t>Valor Propuesta de ajuste para incorporación de recursos en el presupuesto 2024</t>
  </si>
  <si>
    <t>* En el presupuesto de la vigencia 2024, se apropio el Recaudo de Multas 2023 del periodo (Ene-oct).</t>
  </si>
  <si>
    <r>
      <t xml:space="preserve">* " </t>
    </r>
    <r>
      <rPr>
        <i/>
        <sz val="8"/>
        <color theme="1"/>
        <rFont val="Montserrat"/>
      </rPr>
      <t>Los recursos de Multas son apropiados en la vigencia siguiente a su recaudo - salvo excepción que requiera su apropiación en la actual vigencia - a la línea estratégica de Turismo Responsable conforme establece la ley 679 de 2001</t>
    </r>
    <r>
      <rPr>
        <sz val="8"/>
        <color theme="1"/>
        <rFont val="Montserrat"/>
      </rPr>
      <t>".</t>
    </r>
  </si>
  <si>
    <t xml:space="preserve"> EJECUCIÓN PRESUPUESTAL FONTUR  VIGENCIA 2024                                                                                                                                                                                 Enero 31 de 20234
(Cifras en COP Millones)</t>
  </si>
  <si>
    <t xml:space="preserve">FNTP-256-2023 Fase III Gestión Integral de Destinos </t>
  </si>
  <si>
    <t>FNTP-002-2024 Encuentro IAAPA 2024 + Latin American Amusement Expo</t>
  </si>
  <si>
    <t xml:space="preserve">FNTP-251-2023 Agenda académica: Economía y turismo, perspectivas 2024, en el marco del Showroom Hotelero”  </t>
  </si>
  <si>
    <t xml:space="preserve"> FNTP-235-2023 Fortalecimiento para actores de la industria de Tiempo Compartido Colombiano 2024 </t>
  </si>
  <si>
    <t xml:space="preserve"> FNTP-205-2023 Fortalecimiento de la Competitividad del Astroturismo en Villa de Leyva, Boyacá en el marco del 27° Festival de Astronomía </t>
  </si>
  <si>
    <t xml:space="preserve">FNTP-003-2024 Promoción del destino Tunja, ciudad turística y patrimonial de Colombia, en el marco de la vitrina turística de ANATO 2024 </t>
  </si>
  <si>
    <t xml:space="preserve"> AD1-2024-FNTP-162-2023 Mejoramiento de la sostenibilidad y competitividad de Mipymes del sector turístico </t>
  </si>
  <si>
    <t xml:space="preserve"> EJECUCIÓN FUNCIONAMIENTO FONTUR - Enero 31 2024</t>
  </si>
  <si>
    <t>Salarios y prestaciones</t>
  </si>
  <si>
    <t>Dotaciones</t>
  </si>
  <si>
    <t>Selección</t>
  </si>
  <si>
    <t>Seguridad y salud en el trabajo</t>
  </si>
  <si>
    <t>Servicios temporales</t>
  </si>
  <si>
    <t>Formación</t>
  </si>
  <si>
    <t>Pasantes</t>
  </si>
  <si>
    <t>Administración</t>
  </si>
  <si>
    <t>Arriendo bodega archivo</t>
  </si>
  <si>
    <t>Servicio de archivo y digitalización</t>
  </si>
  <si>
    <t>Vigilancia</t>
  </si>
  <si>
    <t>Energía eléctrica</t>
  </si>
  <si>
    <t>Teléfono / internet</t>
  </si>
  <si>
    <t xml:space="preserve">Canal internet dedicado </t>
  </si>
  <si>
    <t>Aseo y cafetería</t>
  </si>
  <si>
    <t>Útiles de papelería y fotocopias</t>
  </si>
  <si>
    <t xml:space="preserve">Gastos de viaje </t>
  </si>
  <si>
    <t>Movilidad</t>
  </si>
  <si>
    <t>Transporte</t>
  </si>
  <si>
    <t>Gastos de representación</t>
  </si>
  <si>
    <t>Responsabilidad Social</t>
  </si>
  <si>
    <t>Servicios Logísticos</t>
  </si>
  <si>
    <t>Gastos legales</t>
  </si>
  <si>
    <t>Arriendo equipo de computo</t>
  </si>
  <si>
    <t>Seguros</t>
  </si>
  <si>
    <t>Mantenimiento y adecuación de oficinas</t>
  </si>
  <si>
    <t>Software y Hardware</t>
  </si>
  <si>
    <t>Gastos bancarios</t>
  </si>
  <si>
    <t>Arriendo oficinas</t>
  </si>
  <si>
    <t>Suscripciones</t>
  </si>
  <si>
    <t>Control fiscal</t>
  </si>
  <si>
    <t>Gastos bienes administrados</t>
  </si>
  <si>
    <t>Remuneración del fiduciario Bienes SAE</t>
  </si>
  <si>
    <t>Remuneración del fiduciario</t>
  </si>
  <si>
    <t>Comunicaciones</t>
  </si>
  <si>
    <t>Proyectos especiales y en seguimiento</t>
  </si>
  <si>
    <t>Call Center Contribución Parafiscal</t>
  </si>
  <si>
    <t>Honorarios Asesoria Gerencial</t>
  </si>
  <si>
    <r>
      <t xml:space="preserve">Asesor Jurídico externo </t>
    </r>
    <r>
      <rPr>
        <sz val="11"/>
        <color theme="1"/>
        <rFont val="Montserrat"/>
      </rPr>
      <t>Defensa Judicial</t>
    </r>
  </si>
  <si>
    <t>Asesor Jurídico externo contractual</t>
  </si>
  <si>
    <t>Asesorías y consultorías gestión Parafiscal</t>
  </si>
  <si>
    <t>Recaudo Multas Vigencia 2024</t>
  </si>
  <si>
    <t>Bienes</t>
  </si>
  <si>
    <t>Total presupuesto de egresos vigencia 2024</t>
  </si>
  <si>
    <t>Presupuesto de Egresos vigencia 2024</t>
  </si>
  <si>
    <t>Subtotal Presupuesto Funcionamiento vigencia 2024</t>
  </si>
  <si>
    <t>Subtotal Presupuesto Inversión  vigencia 2024</t>
  </si>
  <si>
    <t>Resumen Destinación de Recursos Presupuesto 2024</t>
  </si>
  <si>
    <t>Ejecución
Fiscal
Enero 2024</t>
  </si>
  <si>
    <t>Valor Recibido
Fiscal 
Enero 2024</t>
  </si>
  <si>
    <t>Ejecución
Fiscal
Febrero 2024</t>
  </si>
  <si>
    <t>Valor Recibido
Fiscal 
Febrero 2024</t>
  </si>
  <si>
    <t>Ejecución
Parafiscal
Enero 2024</t>
  </si>
  <si>
    <t>Valor Recibido 
Parafiscal
Enero 2024</t>
  </si>
  <si>
    <t>Valor Recibido 
Parafiscal
Febrero 2024</t>
  </si>
  <si>
    <t>Ejecución
Parafiscal
Febrero 2024</t>
  </si>
  <si>
    <t>Modificaciones Presupuesto Febrero 2024</t>
  </si>
  <si>
    <t>Modificaciones Presupuesto 
Marzo 2024</t>
  </si>
  <si>
    <t>Modificaciones Presupuesto 
Abril 2024</t>
  </si>
  <si>
    <t>Modificaciones Presupuesto 
Enero 2024</t>
  </si>
  <si>
    <t xml:space="preserve"> Presupuesto  aprobado
 vigencia 2024
Enero 2024</t>
  </si>
  <si>
    <t>Presupuesto Aprobado 2024 
Bienes SAE</t>
  </si>
  <si>
    <t>Modificaciones presupuesto
Enero 2024
Bienes SAE</t>
  </si>
  <si>
    <t>Modificaciones presupuesto
Febrero  2024
Bienes SAE</t>
  </si>
  <si>
    <t>Ejecución
Enero 2024
Bienes SAE</t>
  </si>
  <si>
    <t>Ejecución
Febrero 2024
Bienes SAE</t>
  </si>
  <si>
    <t>Valor Recibido
Enero 2024
Bienes SAE</t>
  </si>
  <si>
    <t>Valor Recibido
Febrero 2024
Bienes SAE</t>
  </si>
  <si>
    <t>Modificaciones presupuesto
 Fiscal
Enero 2024</t>
  </si>
  <si>
    <t>Modificaciones presupuesto
 Fiscal
Febrero 2024</t>
  </si>
  <si>
    <t xml:space="preserve">Presupuesto Aprobado 2024
 Fiscal
</t>
  </si>
  <si>
    <t>Modificaciones presupuesto Parafiscal 
Enero 2024</t>
  </si>
  <si>
    <t>Modificaciones presupuesto Parafiscal 
Febrero 2024</t>
  </si>
  <si>
    <t xml:space="preserve">Presupuesto Aprobado 2024
Parafiscal
</t>
  </si>
  <si>
    <t>Ejecución
Enero 2024</t>
  </si>
  <si>
    <t>Ejecución
Febrero 2024</t>
  </si>
  <si>
    <t>Valor Recibido 
Enero 2024</t>
  </si>
  <si>
    <t>Valor Recibido 
Febrero 2024</t>
  </si>
  <si>
    <t>Proyectos Competitividad</t>
  </si>
  <si>
    <t>Supervisión Proyectos Competitividad</t>
  </si>
  <si>
    <t>Proyectos Promoción</t>
  </si>
  <si>
    <t>Supervisión Proyectos Promoción</t>
  </si>
  <si>
    <t>Proyectos ESCNNA</t>
  </si>
  <si>
    <t>Proyectos Turismo Responsable</t>
  </si>
  <si>
    <t xml:space="preserve"> Proyectos
 Aprobados y/o Comprometido 
Enero 2024
Bienes SAE</t>
  </si>
  <si>
    <t xml:space="preserve"> Proyectos
 Aprobados y/o Comprometido 
Febrero 2024
Bienes SAE</t>
  </si>
  <si>
    <t>Contratos
Enero 2024
Bienes SAE</t>
  </si>
  <si>
    <t>Contratos
Febrero 2024
Bienes SAE</t>
  </si>
  <si>
    <t xml:space="preserve"> Ejecutado por Causacion
Enero 2024 
Bienes SAE</t>
  </si>
  <si>
    <t xml:space="preserve"> Ejecutado por Causacion
Febrero 2024 
Bienes SAE</t>
  </si>
  <si>
    <t xml:space="preserve"> Proyectos
 Aprobados y/o comprometido
Fiscal 
Enero 2024</t>
  </si>
  <si>
    <t xml:space="preserve"> Proyectos
 Aprobados y/o comprometido
Fiscal 
Febrero 2024</t>
  </si>
  <si>
    <t>Contratos
Fiscal
Enero 2024</t>
  </si>
  <si>
    <t>Contratos
Fiscal
Febrero 2024</t>
  </si>
  <si>
    <t>Ejecutado por Causación
Enero 2024</t>
  </si>
  <si>
    <t>Ejecutado por Causación
Febrero 2024</t>
  </si>
  <si>
    <t xml:space="preserve"> Proyectos 
Aprobados y/o comprometido
Parafiscal
Enero 2024</t>
  </si>
  <si>
    <t xml:space="preserve"> Proyectos 
Aprobados y/o comprometido
Parafiscal
Febrero 2024</t>
  </si>
  <si>
    <t>Contratos
Parafiscal
Enero 2024</t>
  </si>
  <si>
    <t>Contratos
Parafiscal
Febrero 2024</t>
  </si>
  <si>
    <t>Proyectos aprobados y/o  Comprometido
Enero 2024</t>
  </si>
  <si>
    <t>Proyectos aprobados y/o  Comprometido
Febrero 2024</t>
  </si>
  <si>
    <t>Proyectos aprobados y/o  Comprometido
Marzo 2024</t>
  </si>
  <si>
    <t>Proyectos aprobados y/o  Comprometido
Abril 2024</t>
  </si>
  <si>
    <t>Total Proyectos aprobados y/o  Comprometido</t>
  </si>
  <si>
    <t>Contratado
Enero 2024</t>
  </si>
  <si>
    <t>Contratado
Febrero 2024</t>
  </si>
  <si>
    <t>Contratado
Marzo 2024</t>
  </si>
  <si>
    <t>Contratado
Abril 2024</t>
  </si>
  <si>
    <t>Total Contratado</t>
  </si>
  <si>
    <t>Ejecutado por Causación
Abril 2024</t>
  </si>
  <si>
    <t>Ejecutado por Causación
Marzo 2024</t>
  </si>
  <si>
    <t>Modificaciones presupuesto
Marzo  2024
Bienes SAE</t>
  </si>
  <si>
    <t>Modificaciones presupuesto
Abril  2024
Bienes SAE</t>
  </si>
  <si>
    <t xml:space="preserve"> Proyectos
 Aprobados y/o Comprometido 
Marzo 2024
Bienes SAE</t>
  </si>
  <si>
    <t xml:space="preserve"> Proyectos
 Aprobados y/o Comprometido 
Abril 2024
Bienes SAE</t>
  </si>
  <si>
    <t>Contratos
Marzo 2024
Bienes SAE</t>
  </si>
  <si>
    <t>Contratos
Abril 2024
Bienes SAE</t>
  </si>
  <si>
    <t xml:space="preserve"> Ejecutado por Causacion
Marzo 2024 
Bienes SAE</t>
  </si>
  <si>
    <t xml:space="preserve"> Ejecutado por Causacion
Abril 2024 
Bienes SAE</t>
  </si>
  <si>
    <t>Modificaciones presupuesto
 Fiscal
Marzo 2024</t>
  </si>
  <si>
    <t>Modificaciones presupuesto
 Fiscal
Abril 2024</t>
  </si>
  <si>
    <t xml:space="preserve"> Proyectos
 Aprobados y/o comprometido
Fiscal 
Marzo 2024</t>
  </si>
  <si>
    <t xml:space="preserve"> Proyectos
 Aprobados y/o comprometido
Fiscal 
Abril 2024</t>
  </si>
  <si>
    <t>Contratos
Fiscal
Marzo 2024</t>
  </si>
  <si>
    <t>Contratos
Fiscal
Abril 2024</t>
  </si>
  <si>
    <t>Ejecutado por Causación
marzo 2024</t>
  </si>
  <si>
    <t>Modificaciones presupuesto Parafiscal 
Marzo 2024</t>
  </si>
  <si>
    <t>Modificaciones presupuesto Parafiscal 
Abril 2024</t>
  </si>
  <si>
    <t xml:space="preserve"> Proyectos 
Aprobados y/o comprometido
Parafiscal
Marzo 2024</t>
  </si>
  <si>
    <t xml:space="preserve"> Proyectos 
Aprobados y/o comprometido
Parafiscal
Abril 2024</t>
  </si>
  <si>
    <t>Contratos
Parafiscal
Marzo 2024</t>
  </si>
  <si>
    <t>Contratos
Parafiscal
Abril 2024</t>
  </si>
  <si>
    <t>Ejecución
Marzo 2024
Bienes SAE</t>
  </si>
  <si>
    <t>Ejecución
Abril 2024
Bienes SAE</t>
  </si>
  <si>
    <t>Valor Recibido
Marzo 2024
Bienes SAE</t>
  </si>
  <si>
    <t>Valor Recibido
Abril 2024
Bienes SAE</t>
  </si>
  <si>
    <t>Ejecución
Fiscal
Marzo 2024</t>
  </si>
  <si>
    <t>Valor Recibido
Fiscal 
Marzo 2024</t>
  </si>
  <si>
    <t>Ejecución
Parafiscal
Marzo 2024</t>
  </si>
  <si>
    <t>Valor Recibido 
Parafiscal
Marzo 2024</t>
  </si>
  <si>
    <t>Ejecución
Marzo 2024</t>
  </si>
  <si>
    <t>Ejecución
Abril 2024</t>
  </si>
  <si>
    <t>Valor Recibido 
Marzo 2024</t>
  </si>
  <si>
    <t>Valor Recibido 
Abril 2024</t>
  </si>
  <si>
    <t>Ejecución
Fiscal
Abril 2024</t>
  </si>
  <si>
    <t>Valor Recibido
Fiscal 
Abril 2024</t>
  </si>
  <si>
    <t>Ejecución
Parafiscal
Abril 2024</t>
  </si>
  <si>
    <t>Valor Recibido 
Parafiscal
Abril 2024</t>
  </si>
  <si>
    <t>PATRIMONIO AUTONOMO FONTUR
 EJECUCIÓN PRESUPUESTAL DE INGRESOS VIGENCIA 2024
Corte: 30/04/2024
Cifras en COP millones</t>
  </si>
  <si>
    <t>Total presupuesto de ingresos vigencia 2024</t>
  </si>
  <si>
    <t>PATRIMONIO AUTONOMO FONTUR
EJECUCIÓN PRESUPUESTAL DE EGRESOS VIGENCIA 2024
Corte:30/04/2024
Cifras en COP millones</t>
  </si>
  <si>
    <t>Saldo Total por aprobar</t>
  </si>
  <si>
    <t>Concepto  Ingreso</t>
  </si>
  <si>
    <t>Presupuesto aprobado a 30 abril 2024</t>
  </si>
  <si>
    <t>valor recibido Enero</t>
  </si>
  <si>
    <t>valor recibido Febrero</t>
  </si>
  <si>
    <t>valor recibido Marzo</t>
  </si>
  <si>
    <t>valor recibido Abril</t>
  </si>
  <si>
    <t>Total Recibido a 30 abril</t>
  </si>
  <si>
    <t xml:space="preserve">Impuesto al turismo 2024           </t>
  </si>
  <si>
    <t xml:space="preserve">Otros recursos fiscales                           </t>
  </si>
  <si>
    <t xml:space="preserve">Recursos fuente parafiscal                   </t>
  </si>
  <si>
    <t>Otros recursos  Bienes SAE</t>
  </si>
  <si>
    <t>Resumen Recursos Presupuesto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</si>
</sst>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_(&quot;$&quot;\ * #,##0.00_);_(&quot;$&quot;\ * \(#,##0.00\);_(&quot;$&quot;\ * &quot;-&quot;??_);_(@_)"/>
    <numFmt numFmtId="168" formatCode="_-* #,##0.00\ &quot;€&quot;_-;\-* #,##0.00\ &quot;€&quot;_-;_-* &quot;-&quot;??\ &quot;€&quot;_-;_-@_-"/>
    <numFmt numFmtId="169" formatCode="&quot;$&quot;\ #,##0.00"/>
    <numFmt numFmtId="170" formatCode="_ * #,##0.00_ ;_ * \-#,##0.00_ ;_ * &quot;-&quot;??_ ;_ @_ "/>
    <numFmt numFmtId="171" formatCode="&quot;$&quot;#,##0.00"/>
    <numFmt numFmtId="172" formatCode="_-* #,##0.00\ _€_-;\-* #,##0.00\ _€_-;_-* &quot;-&quot;??\ _€_-;_-@_-"/>
    <numFmt numFmtId="173" formatCode="#,##0,,"/>
    <numFmt numFmtId="174" formatCode="&quot;Verdadero&quot;;&quot;Verdadero&quot;;&quot;Falso&quot;"/>
    <numFmt numFmtId="175" formatCode="_(* #,##0.00_);_(* \(#,##0.00\);_(* \-??_);_(@_)"/>
    <numFmt numFmtId="176" formatCode="_-* #,##0.00&quot; €&quot;_-;\-* #,##0.00&quot; €&quot;_-;_-* \-??&quot; €&quot;_-;_-@_-"/>
    <numFmt numFmtId="177" formatCode="_ &quot;$&quot;\ * #,##0.00_ ;_ &quot;$&quot;\ * \-#,##0.00_ ;_ &quot;$&quot;\ * &quot;-&quot;??_ ;_ @_ "/>
    <numFmt numFmtId="178" formatCode="&quot;$&quot;\ #,##0"/>
    <numFmt numFmtId="179" formatCode="0.0%"/>
    <numFmt numFmtId="180" formatCode="_-* #,##0.00_-;\-* #,##0.00_-;_-* &quot;-&quot;_-;_-@_-"/>
    <numFmt numFmtId="181" formatCode="#,##0,"/>
    <numFmt numFmtId="182" formatCode="_(* #,##0_);_(* \(#,##0\);_(* &quot;-&quot;??_);_(@_)"/>
    <numFmt numFmtId="183" formatCode="_-* #,##0_-;\-* #,##0_-;_-* &quot;-&quot;??_-;_-@_-"/>
  </numFmts>
  <fonts count="7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 Narrow"/>
      <family val="2"/>
    </font>
    <font>
      <u/>
      <sz val="11"/>
      <color theme="10"/>
      <name val="Calibri"/>
      <family val="2"/>
    </font>
    <font>
      <b/>
      <sz val="12"/>
      <color theme="0"/>
      <name val="Arial Narrow"/>
      <family val="2"/>
    </font>
    <font>
      <b/>
      <sz val="12"/>
      <name val="Arial Narrow"/>
      <family val="2"/>
    </font>
    <font>
      <i/>
      <sz val="12"/>
      <name val="Arial Narrow"/>
      <family val="2"/>
    </font>
    <font>
      <sz val="12"/>
      <color theme="1"/>
      <name val="Arial Narrow"/>
      <family val="2"/>
    </font>
    <font>
      <b/>
      <i/>
      <sz val="12"/>
      <name val="Arial Narrow"/>
      <family val="2"/>
    </font>
    <font>
      <sz val="12"/>
      <color rgb="FFFF0000"/>
      <name val="Arial Narrow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theme="0"/>
      <name val="Montserrat"/>
    </font>
    <font>
      <sz val="12"/>
      <name val="Montserrat"/>
    </font>
    <font>
      <i/>
      <sz val="11"/>
      <name val="Montserrat"/>
    </font>
    <font>
      <b/>
      <sz val="11"/>
      <name val="Montserrat"/>
    </font>
    <font>
      <sz val="11"/>
      <name val="Montserrat"/>
    </font>
    <font>
      <sz val="11"/>
      <color theme="0"/>
      <name val="Montserrat"/>
    </font>
    <font>
      <sz val="11"/>
      <color theme="1"/>
      <name val="Montserrat"/>
    </font>
    <font>
      <b/>
      <sz val="12"/>
      <name val="Montserrat"/>
    </font>
    <font>
      <sz val="10"/>
      <name val="Montserrat"/>
    </font>
    <font>
      <i/>
      <sz val="10"/>
      <name val="Montserrat"/>
    </font>
    <font>
      <sz val="8"/>
      <color theme="1"/>
      <name val="Montserrat"/>
    </font>
    <font>
      <sz val="12"/>
      <color rgb="FFFF0000"/>
      <name val="Montserrat"/>
    </font>
    <font>
      <b/>
      <sz val="11"/>
      <color rgb="FFE7E6E6"/>
      <name val="Montserrat"/>
    </font>
    <font>
      <sz val="12"/>
      <color theme="0"/>
      <name val="Montserrat"/>
    </font>
    <font>
      <sz val="11"/>
      <color rgb="FFFF0000"/>
      <name val="Montserrat"/>
    </font>
    <font>
      <sz val="12"/>
      <color theme="1"/>
      <name val="Montserrat"/>
    </font>
    <font>
      <sz val="10"/>
      <color theme="1"/>
      <name val="Montserrat"/>
    </font>
    <font>
      <b/>
      <sz val="10"/>
      <name val="Montserrat"/>
    </font>
    <font>
      <b/>
      <sz val="10"/>
      <color theme="0"/>
      <name val="Montserrat"/>
    </font>
    <font>
      <b/>
      <sz val="11"/>
      <color theme="1"/>
      <name val="Montserrat"/>
    </font>
    <font>
      <sz val="8"/>
      <name val="Montserrat"/>
    </font>
    <font>
      <i/>
      <sz val="8"/>
      <color theme="1"/>
      <name val="Montserrat"/>
    </font>
    <font>
      <b/>
      <sz val="10"/>
      <color rgb="FF000000"/>
      <name val="Montserrat"/>
    </font>
    <font>
      <sz val="9"/>
      <color theme="1"/>
      <name val="Montserrat"/>
    </font>
    <font>
      <b/>
      <sz val="12"/>
      <color theme="1"/>
      <name val="Montserrat"/>
    </font>
    <font>
      <b/>
      <i/>
      <sz val="11"/>
      <name val="Montserrat"/>
    </font>
    <font>
      <sz val="8"/>
      <name val="Calibri"/>
      <family val="2"/>
      <scheme val="minor"/>
    </font>
    <font>
      <b/>
      <sz val="12"/>
      <color theme="0"/>
      <name val="Montserrat"/>
    </font>
  </fonts>
  <fills count="7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FFFFCC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30D6B"/>
        <bgColor indexed="64"/>
      </patternFill>
    </fill>
    <fill>
      <patternFill patternType="solid">
        <fgColor rgb="FF016AA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01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168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3" applyNumberFormat="0" applyFill="0" applyAlignment="0" applyProtection="0"/>
    <xf numFmtId="164" fontId="17" fillId="0" borderId="0" applyFont="0" applyFill="0" applyBorder="0" applyAlignment="0" applyProtection="0"/>
    <xf numFmtId="16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1" fillId="23" borderId="9" applyNumberFormat="0" applyFont="0" applyAlignment="0" applyProtection="0"/>
    <xf numFmtId="0" fontId="6" fillId="22" borderId="7" applyNumberFormat="0" applyFont="0" applyAlignment="0" applyProtection="0"/>
    <xf numFmtId="0" fontId="6" fillId="22" borderId="7" applyNumberFormat="0" applyFont="0" applyAlignment="0" applyProtection="0"/>
    <xf numFmtId="0" fontId="6" fillId="22" borderId="7" applyNumberFormat="0" applyFont="0" applyAlignment="0" applyProtection="0"/>
    <xf numFmtId="0" fontId="14" fillId="20" borderId="8" applyNumberFormat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8" fillId="0" borderId="0"/>
    <xf numFmtId="9" fontId="6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9" fontId="1" fillId="0" borderId="0" applyFont="0" applyFill="0" applyBorder="0" applyAlignment="0" applyProtection="0"/>
    <xf numFmtId="0" fontId="18" fillId="0" borderId="0"/>
    <xf numFmtId="167" fontId="17" fillId="0" borderId="0" applyFont="0" applyFill="0" applyBorder="0" applyAlignment="0" applyProtection="0"/>
    <xf numFmtId="0" fontId="6" fillId="0" borderId="0"/>
    <xf numFmtId="167" fontId="1" fillId="0" borderId="0" applyFont="0" applyFill="0" applyBorder="0" applyAlignment="0" applyProtection="0"/>
    <xf numFmtId="0" fontId="6" fillId="0" borderId="0"/>
    <xf numFmtId="167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176" fontId="1" fillId="0" borderId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175" fontId="1" fillId="0" borderId="0" applyFill="0" applyBorder="0" applyAlignment="0" applyProtection="0"/>
    <xf numFmtId="174" fontId="1" fillId="0" borderId="0" applyFill="0" applyBorder="0" applyAlignment="0" applyProtection="0"/>
    <xf numFmtId="174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17" fillId="0" borderId="0" applyFont="0" applyFill="0" applyBorder="0" applyAlignment="0" applyProtection="0"/>
    <xf numFmtId="177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6" fillId="0" borderId="0"/>
    <xf numFmtId="9" fontId="1" fillId="0" borderId="0" applyFill="0" applyBorder="0" applyAlignment="0" applyProtection="0"/>
    <xf numFmtId="0" fontId="1" fillId="0" borderId="0"/>
    <xf numFmtId="0" fontId="6" fillId="0" borderId="0"/>
    <xf numFmtId="0" fontId="6" fillId="0" borderId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7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6" fillId="0" borderId="0"/>
    <xf numFmtId="0" fontId="6" fillId="0" borderId="0" applyAlignment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7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28" fillId="0" borderId="21" applyNumberFormat="0" applyFill="0" applyAlignment="0" applyProtection="0"/>
    <xf numFmtId="0" fontId="29" fillId="0" borderId="22" applyNumberFormat="0" applyFill="0" applyAlignment="0" applyProtection="0"/>
    <xf numFmtId="0" fontId="30" fillId="0" borderId="23" applyNumberFormat="0" applyFill="0" applyAlignment="0" applyProtection="0"/>
    <xf numFmtId="0" fontId="30" fillId="0" borderId="0" applyNumberFormat="0" applyFill="0" applyBorder="0" applyAlignment="0" applyProtection="0"/>
    <xf numFmtId="0" fontId="31" fillId="33" borderId="0" applyNumberFormat="0" applyBorder="0" applyAlignment="0" applyProtection="0"/>
    <xf numFmtId="0" fontId="32" fillId="34" borderId="0" applyNumberFormat="0" applyBorder="0" applyAlignment="0" applyProtection="0"/>
    <xf numFmtId="0" fontId="34" fillId="36" borderId="24" applyNumberFormat="0" applyAlignment="0" applyProtection="0"/>
    <xf numFmtId="0" fontId="35" fillId="37" borderId="25" applyNumberFormat="0" applyAlignment="0" applyProtection="0"/>
    <xf numFmtId="0" fontId="36" fillId="37" borderId="24" applyNumberFormat="0" applyAlignment="0" applyProtection="0"/>
    <xf numFmtId="0" fontId="37" fillId="0" borderId="26" applyNumberFormat="0" applyFill="0" applyAlignment="0" applyProtection="0"/>
    <xf numFmtId="0" fontId="38" fillId="38" borderId="27" applyNumberFormat="0" applyAlignment="0" applyProtection="0"/>
    <xf numFmtId="0" fontId="39" fillId="0" borderId="0" applyNumberFormat="0" applyFill="0" applyBorder="0" applyAlignment="0" applyProtection="0"/>
    <xf numFmtId="0" fontId="17" fillId="23" borderId="9" applyNumberFormat="0" applyFont="0" applyAlignment="0" applyProtection="0"/>
    <xf numFmtId="0" fontId="40" fillId="0" borderId="0" applyNumberFormat="0" applyFill="0" applyBorder="0" applyAlignment="0" applyProtection="0"/>
    <xf numFmtId="0" fontId="41" fillId="0" borderId="28" applyNumberFormat="0" applyFill="0" applyAlignment="0" applyProtection="0"/>
    <xf numFmtId="0" fontId="42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0" fontId="42" fillId="43" borderId="0" applyNumberFormat="0" applyBorder="0" applyAlignment="0" applyProtection="0"/>
    <xf numFmtId="0" fontId="17" fillId="44" borderId="0" applyNumberFormat="0" applyBorder="0" applyAlignment="0" applyProtection="0"/>
    <xf numFmtId="0" fontId="17" fillId="45" borderId="0" applyNumberFormat="0" applyBorder="0" applyAlignment="0" applyProtection="0"/>
    <xf numFmtId="0" fontId="42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9" borderId="0" applyNumberFormat="0" applyBorder="0" applyAlignment="0" applyProtection="0"/>
    <xf numFmtId="0" fontId="42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42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42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1" borderId="0" applyNumberFormat="0" applyBorder="0" applyAlignment="0" applyProtection="0"/>
    <xf numFmtId="172" fontId="1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35" borderId="0" applyNumberFormat="0" applyBorder="0" applyAlignment="0" applyProtection="0"/>
    <xf numFmtId="0" fontId="42" fillId="42" borderId="0" applyNumberFormat="0" applyBorder="0" applyAlignment="0" applyProtection="0"/>
    <xf numFmtId="0" fontId="42" fillId="46" borderId="0" applyNumberFormat="0" applyBorder="0" applyAlignment="0" applyProtection="0"/>
    <xf numFmtId="0" fontId="42" fillId="50" borderId="0" applyNumberFormat="0" applyBorder="0" applyAlignment="0" applyProtection="0"/>
    <xf numFmtId="0" fontId="42" fillId="54" borderId="0" applyNumberFormat="0" applyBorder="0" applyAlignment="0" applyProtection="0"/>
    <xf numFmtId="0" fontId="42" fillId="58" borderId="0" applyNumberFormat="0" applyBorder="0" applyAlignment="0" applyProtection="0"/>
    <xf numFmtId="0" fontId="42" fillId="62" borderId="0" applyNumberFormat="0" applyBorder="0" applyAlignment="0" applyProtection="0"/>
    <xf numFmtId="172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33" fillId="35" borderId="0" applyNumberFormat="0" applyBorder="0" applyAlignment="0" applyProtection="0"/>
    <xf numFmtId="0" fontId="17" fillId="42" borderId="0" applyNumberFormat="0" applyBorder="0" applyAlignment="0" applyProtection="0"/>
    <xf numFmtId="0" fontId="17" fillId="46" borderId="0" applyNumberFormat="0" applyBorder="0" applyAlignment="0" applyProtection="0"/>
    <xf numFmtId="0" fontId="17" fillId="50" borderId="0" applyNumberFormat="0" applyBorder="0" applyAlignment="0" applyProtection="0"/>
    <xf numFmtId="0" fontId="17" fillId="54" borderId="0" applyNumberFormat="0" applyBorder="0" applyAlignment="0" applyProtection="0"/>
    <xf numFmtId="0" fontId="17" fillId="58" borderId="0" applyNumberFormat="0" applyBorder="0" applyAlignment="0" applyProtection="0"/>
    <xf numFmtId="0" fontId="17" fillId="62" borderId="0" applyNumberFormat="0" applyBorder="0" applyAlignment="0" applyProtection="0"/>
    <xf numFmtId="41" fontId="17" fillId="0" borderId="0" applyFont="0" applyFill="0" applyBorder="0" applyAlignment="0" applyProtection="0"/>
    <xf numFmtId="0" fontId="43" fillId="0" borderId="0" applyNumberForma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33" fillId="35" borderId="0" applyNumberFormat="0" applyBorder="0" applyAlignment="0" applyProtection="0"/>
    <xf numFmtId="0" fontId="17" fillId="42" borderId="0" applyNumberFormat="0" applyBorder="0" applyAlignment="0" applyProtection="0"/>
    <xf numFmtId="0" fontId="17" fillId="46" borderId="0" applyNumberFormat="0" applyBorder="0" applyAlignment="0" applyProtection="0"/>
    <xf numFmtId="0" fontId="17" fillId="50" borderId="0" applyNumberFormat="0" applyBorder="0" applyAlignment="0" applyProtection="0"/>
    <xf numFmtId="0" fontId="17" fillId="54" borderId="0" applyNumberFormat="0" applyBorder="0" applyAlignment="0" applyProtection="0"/>
    <xf numFmtId="0" fontId="17" fillId="58" borderId="0" applyNumberFormat="0" applyBorder="0" applyAlignment="0" applyProtection="0"/>
    <xf numFmtId="0" fontId="17" fillId="62" borderId="0" applyNumberFormat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44" fillId="35" borderId="0" applyNumberFormat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6" fillId="0" borderId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42" fillId="54" borderId="0" applyNumberFormat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42" fillId="50" borderId="0" applyNumberFormat="0" applyBorder="0" applyAlignment="0" applyProtection="0"/>
    <xf numFmtId="0" fontId="42" fillId="58" borderId="0" applyNumberFormat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42" fillId="62" borderId="0" applyNumberFormat="0" applyBorder="0" applyAlignment="0" applyProtection="0"/>
    <xf numFmtId="0" fontId="6" fillId="0" borderId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42" fillId="42" borderId="0" applyNumberFormat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42" fillId="46" borderId="0" applyNumberFormat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390">
    <xf numFmtId="0" fontId="0" fillId="0" borderId="0" xfId="0"/>
    <xf numFmtId="9" fontId="19" fillId="0" borderId="0" xfId="89" applyFont="1" applyBorder="1" applyAlignment="1">
      <alignment horizontal="center" vertical="center"/>
    </xf>
    <xf numFmtId="41" fontId="19" fillId="0" borderId="0" xfId="180" applyFont="1" applyBorder="1" applyAlignment="1">
      <alignment vertical="center"/>
    </xf>
    <xf numFmtId="41" fontId="23" fillId="0" borderId="0" xfId="180" applyFont="1" applyAlignment="1">
      <alignment vertical="center" wrapText="1" readingOrder="1"/>
    </xf>
    <xf numFmtId="0" fontId="23" fillId="0" borderId="0" xfId="0" applyFont="1" applyAlignment="1">
      <alignment horizontal="center" vertical="center" wrapText="1" readingOrder="1"/>
    </xf>
    <xf numFmtId="0" fontId="19" fillId="0" borderId="0" xfId="0" applyFont="1"/>
    <xf numFmtId="0" fontId="21" fillId="24" borderId="11" xfId="0" applyFont="1" applyFill="1" applyBorder="1" applyAlignment="1">
      <alignment horizontal="center" vertical="center" wrapText="1" readingOrder="1"/>
    </xf>
    <xf numFmtId="9" fontId="21" fillId="24" borderId="11" xfId="89" applyFont="1" applyFill="1" applyBorder="1" applyAlignment="1">
      <alignment horizontal="center" vertical="center" wrapText="1" readingOrder="1"/>
    </xf>
    <xf numFmtId="164" fontId="22" fillId="27" borderId="11" xfId="61" applyFont="1" applyFill="1" applyBorder="1" applyAlignment="1">
      <alignment horizontal="center" vertical="center" wrapText="1" readingOrder="1"/>
    </xf>
    <xf numFmtId="0" fontId="22" fillId="27" borderId="11" xfId="0" applyFont="1" applyFill="1" applyBorder="1" applyAlignment="1">
      <alignment horizontal="center" vertical="center" wrapText="1" readingOrder="1"/>
    </xf>
    <xf numFmtId="0" fontId="22" fillId="28" borderId="11" xfId="0" applyFont="1" applyFill="1" applyBorder="1" applyAlignment="1">
      <alignment horizontal="center" vertical="center" wrapText="1" readingOrder="1"/>
    </xf>
    <xf numFmtId="173" fontId="21" fillId="24" borderId="11" xfId="0" applyNumberFormat="1" applyFont="1" applyFill="1" applyBorder="1" applyAlignment="1">
      <alignment horizontal="center" vertical="center" wrapText="1" readingOrder="1"/>
    </xf>
    <xf numFmtId="41" fontId="21" fillId="24" borderId="11" xfId="180" applyFont="1" applyFill="1" applyBorder="1" applyAlignment="1">
      <alignment horizontal="center" vertical="center" wrapText="1" readingOrder="1"/>
    </xf>
    <xf numFmtId="9" fontId="21" fillId="24" borderId="11" xfId="0" applyNumberFormat="1" applyFont="1" applyFill="1" applyBorder="1" applyAlignment="1">
      <alignment horizontal="center" vertical="center" wrapText="1" readingOrder="1"/>
    </xf>
    <xf numFmtId="9" fontId="19" fillId="0" borderId="11" xfId="89" applyFont="1" applyBorder="1" applyAlignment="1">
      <alignment horizontal="center" vertical="center" wrapText="1" readingOrder="1"/>
    </xf>
    <xf numFmtId="173" fontId="19" fillId="0" borderId="0" xfId="0" applyNumberFormat="1" applyFont="1"/>
    <xf numFmtId="0" fontId="19" fillId="0" borderId="0" xfId="0" applyFont="1" applyAlignment="1">
      <alignment horizontal="left" vertical="center" wrapText="1" readingOrder="1"/>
    </xf>
    <xf numFmtId="0" fontId="19" fillId="0" borderId="0" xfId="0" applyFont="1" applyAlignment="1">
      <alignment horizontal="center" readingOrder="1"/>
    </xf>
    <xf numFmtId="4" fontId="19" fillId="0" borderId="0" xfId="0" applyNumberFormat="1" applyFont="1"/>
    <xf numFmtId="0" fontId="19" fillId="0" borderId="0" xfId="0" applyFont="1" applyAlignment="1">
      <alignment horizontal="center"/>
    </xf>
    <xf numFmtId="43" fontId="19" fillId="0" borderId="0" xfId="0" applyNumberFormat="1" applyFont="1"/>
    <xf numFmtId="0" fontId="19" fillId="0" borderId="12" xfId="0" applyFont="1" applyBorder="1" applyAlignment="1">
      <alignment horizontal="left" vertical="center" wrapText="1" readingOrder="1"/>
    </xf>
    <xf numFmtId="9" fontId="19" fillId="0" borderId="0" xfId="89" applyFont="1" applyAlignment="1">
      <alignment horizontal="center"/>
    </xf>
    <xf numFmtId="164" fontId="19" fillId="0" borderId="0" xfId="61" applyFont="1"/>
    <xf numFmtId="41" fontId="19" fillId="0" borderId="0" xfId="180" applyFont="1"/>
    <xf numFmtId="9" fontId="19" fillId="0" borderId="0" xfId="89" applyFont="1" applyAlignment="1">
      <alignment horizontal="center" readingOrder="1"/>
    </xf>
    <xf numFmtId="173" fontId="22" fillId="28" borderId="11" xfId="89" applyNumberFormat="1" applyFont="1" applyFill="1" applyBorder="1" applyAlignment="1">
      <alignment horizontal="center" vertical="center" wrapText="1" readingOrder="1"/>
    </xf>
    <xf numFmtId="173" fontId="19" fillId="0" borderId="0" xfId="61" applyNumberFormat="1" applyFont="1" applyAlignment="1">
      <alignment horizontal="center"/>
    </xf>
    <xf numFmtId="173" fontId="19" fillId="0" borderId="15" xfId="0" applyNumberFormat="1" applyFont="1" applyBorder="1" applyAlignment="1">
      <alignment horizontal="right" vertical="center" wrapText="1" readingOrder="1"/>
    </xf>
    <xf numFmtId="0" fontId="23" fillId="0" borderId="10" xfId="0" applyFont="1" applyBorder="1" applyAlignment="1">
      <alignment vertical="center" wrapText="1" readingOrder="1"/>
    </xf>
    <xf numFmtId="9" fontId="23" fillId="0" borderId="10" xfId="89" applyFont="1" applyBorder="1" applyAlignment="1">
      <alignment horizontal="center" vertical="center" wrapText="1" readingOrder="1"/>
    </xf>
    <xf numFmtId="0" fontId="23" fillId="0" borderId="10" xfId="0" applyFont="1" applyBorder="1" applyAlignment="1">
      <alignment horizontal="center" vertical="center" wrapText="1" readingOrder="1"/>
    </xf>
    <xf numFmtId="41" fontId="23" fillId="0" borderId="10" xfId="180" applyFont="1" applyBorder="1" applyAlignment="1">
      <alignment vertical="center" wrapText="1" readingOrder="1"/>
    </xf>
    <xf numFmtId="0" fontId="19" fillId="0" borderId="11" xfId="0" applyFont="1" applyBorder="1" applyAlignment="1">
      <alignment horizontal="left" vertical="center" wrapText="1" readingOrder="1"/>
    </xf>
    <xf numFmtId="173" fontId="19" fillId="0" borderId="11" xfId="89" applyNumberFormat="1" applyFont="1" applyBorder="1" applyAlignment="1">
      <alignment horizontal="center" vertical="center" wrapText="1" readingOrder="1"/>
    </xf>
    <xf numFmtId="9" fontId="19" fillId="0" borderId="13" xfId="89" applyFont="1" applyBorder="1" applyAlignment="1">
      <alignment horizontal="center" vertical="center" wrapText="1" readingOrder="1"/>
    </xf>
    <xf numFmtId="9" fontId="21" fillId="24" borderId="16" xfId="89" applyFont="1" applyFill="1" applyBorder="1" applyAlignment="1">
      <alignment horizontal="center" vertical="center" wrapText="1" readingOrder="1"/>
    </xf>
    <xf numFmtId="9" fontId="19" fillId="0" borderId="15" xfId="89" applyFont="1" applyBorder="1" applyAlignment="1">
      <alignment horizontal="center" vertical="center" wrapText="1" readingOrder="1"/>
    </xf>
    <xf numFmtId="9" fontId="22" fillId="27" borderId="11" xfId="89" applyFont="1" applyFill="1" applyBorder="1" applyAlignment="1">
      <alignment horizontal="center" vertical="center" wrapText="1" readingOrder="1"/>
    </xf>
    <xf numFmtId="9" fontId="19" fillId="0" borderId="0" xfId="89" applyFont="1" applyAlignment="1">
      <alignment horizontal="center" vertical="center" wrapText="1" readingOrder="1"/>
    </xf>
    <xf numFmtId="9" fontId="21" fillId="24" borderId="13" xfId="89" applyFont="1" applyFill="1" applyBorder="1" applyAlignment="1">
      <alignment horizontal="center" vertical="center" wrapText="1" readingOrder="1"/>
    </xf>
    <xf numFmtId="9" fontId="22" fillId="0" borderId="15" xfId="89" applyFont="1" applyBorder="1" applyAlignment="1">
      <alignment horizontal="center" vertical="center" wrapText="1" readingOrder="1"/>
    </xf>
    <xf numFmtId="9" fontId="19" fillId="0" borderId="0" xfId="89" applyFont="1" applyBorder="1" applyAlignment="1">
      <alignment horizontal="center" vertical="center" wrapText="1" readingOrder="1"/>
    </xf>
    <xf numFmtId="9" fontId="22" fillId="0" borderId="0" xfId="89" applyFont="1" applyBorder="1" applyAlignment="1">
      <alignment horizontal="center" vertical="center" wrapText="1" readingOrder="1"/>
    </xf>
    <xf numFmtId="173" fontId="19" fillId="0" borderId="0" xfId="89" applyNumberFormat="1" applyFont="1" applyBorder="1" applyAlignment="1">
      <alignment horizontal="center" vertical="center" wrapText="1" readingOrder="1"/>
    </xf>
    <xf numFmtId="9" fontId="19" fillId="0" borderId="17" xfId="89" applyFont="1" applyBorder="1" applyAlignment="1">
      <alignment horizontal="center" vertical="center" wrapText="1" readingOrder="1"/>
    </xf>
    <xf numFmtId="9" fontId="22" fillId="28" borderId="16" xfId="89" applyFont="1" applyFill="1" applyBorder="1" applyAlignment="1">
      <alignment horizontal="center" vertical="center" wrapText="1" readingOrder="1"/>
    </xf>
    <xf numFmtId="9" fontId="19" fillId="0" borderId="12" xfId="89" applyFont="1" applyBorder="1" applyAlignment="1">
      <alignment horizontal="center" vertical="center" wrapText="1" readingOrder="1"/>
    </xf>
    <xf numFmtId="9" fontId="22" fillId="28" borderId="11" xfId="89" applyFont="1" applyFill="1" applyBorder="1" applyAlignment="1">
      <alignment horizontal="center" vertical="center" wrapText="1" readingOrder="1"/>
    </xf>
    <xf numFmtId="9" fontId="19" fillId="0" borderId="11" xfId="89" applyFont="1" applyFill="1" applyBorder="1" applyAlignment="1">
      <alignment horizontal="center" vertical="center" wrapText="1" readingOrder="1"/>
    </xf>
    <xf numFmtId="41" fontId="21" fillId="24" borderId="11" xfId="180" applyFont="1" applyFill="1" applyBorder="1" applyAlignment="1">
      <alignment horizontal="right" vertical="center" wrapText="1" readingOrder="1"/>
    </xf>
    <xf numFmtId="41" fontId="19" fillId="0" borderId="14" xfId="180" applyFont="1" applyBorder="1" applyAlignment="1">
      <alignment vertical="center" wrapText="1" readingOrder="1"/>
    </xf>
    <xf numFmtId="41" fontId="19" fillId="0" borderId="14" xfId="180" applyFont="1" applyFill="1" applyBorder="1" applyAlignment="1">
      <alignment vertical="center" wrapText="1" readingOrder="1"/>
    </xf>
    <xf numFmtId="41" fontId="19" fillId="0" borderId="0" xfId="180" applyFont="1" applyBorder="1" applyAlignment="1">
      <alignment horizontal="right" vertical="center" wrapText="1" readingOrder="1"/>
    </xf>
    <xf numFmtId="41" fontId="19" fillId="0" borderId="11" xfId="180" applyFont="1" applyBorder="1" applyAlignment="1">
      <alignment horizontal="right" vertical="center" wrapText="1" readingOrder="1"/>
    </xf>
    <xf numFmtId="41" fontId="19" fillId="0" borderId="18" xfId="180" applyFont="1" applyBorder="1" applyAlignment="1">
      <alignment horizontal="right" vertical="center" wrapText="1" readingOrder="1"/>
    </xf>
    <xf numFmtId="41" fontId="19" fillId="0" borderId="19" xfId="180" applyFont="1" applyBorder="1" applyAlignment="1">
      <alignment horizontal="right" vertical="center" wrapText="1" readingOrder="1"/>
    </xf>
    <xf numFmtId="41" fontId="21" fillId="24" borderId="16" xfId="180" applyFont="1" applyFill="1" applyBorder="1" applyAlignment="1">
      <alignment horizontal="right" vertical="center" wrapText="1" readingOrder="1"/>
    </xf>
    <xf numFmtId="41" fontId="19" fillId="0" borderId="15" xfId="180" applyFont="1" applyBorder="1" applyAlignment="1">
      <alignment vertical="center"/>
    </xf>
    <xf numFmtId="41" fontId="19" fillId="0" borderId="14" xfId="180" applyFont="1" applyBorder="1" applyAlignment="1">
      <alignment horizontal="right" vertical="center" wrapText="1" readingOrder="1"/>
    </xf>
    <xf numFmtId="41" fontId="21" fillId="24" borderId="13" xfId="180" applyFont="1" applyFill="1" applyBorder="1" applyAlignment="1">
      <alignment horizontal="right" vertical="center" wrapText="1" readingOrder="1"/>
    </xf>
    <xf numFmtId="41" fontId="19" fillId="0" borderId="11" xfId="180" applyFont="1" applyBorder="1" applyAlignment="1">
      <alignment vertical="center" wrapText="1" readingOrder="1"/>
    </xf>
    <xf numFmtId="41" fontId="19" fillId="0" borderId="13" xfId="180" applyFont="1" applyBorder="1" applyAlignment="1">
      <alignment vertical="center" wrapText="1" readingOrder="1"/>
    </xf>
    <xf numFmtId="41" fontId="21" fillId="24" borderId="11" xfId="180" applyFont="1" applyFill="1" applyBorder="1" applyAlignment="1">
      <alignment vertical="center" wrapText="1" readingOrder="1"/>
    </xf>
    <xf numFmtId="41" fontId="22" fillId="28" borderId="16" xfId="180" applyFont="1" applyFill="1" applyBorder="1" applyAlignment="1">
      <alignment vertical="center" wrapText="1" readingOrder="1"/>
    </xf>
    <xf numFmtId="41" fontId="22" fillId="28" borderId="11" xfId="180" applyFont="1" applyFill="1" applyBorder="1" applyAlignment="1">
      <alignment vertical="center" wrapText="1" readingOrder="1"/>
    </xf>
    <xf numFmtId="41" fontId="19" fillId="0" borderId="0" xfId="180" applyFont="1" applyBorder="1" applyAlignment="1">
      <alignment vertical="center" wrapText="1" readingOrder="1"/>
    </xf>
    <xf numFmtId="41" fontId="22" fillId="28" borderId="11" xfId="180" applyFont="1" applyFill="1" applyBorder="1" applyAlignment="1">
      <alignment horizontal="right" vertical="center" wrapText="1" readingOrder="1"/>
    </xf>
    <xf numFmtId="41" fontId="24" fillId="0" borderId="0" xfId="180" applyFont="1"/>
    <xf numFmtId="0" fontId="25" fillId="30" borderId="10" xfId="0" applyFont="1" applyFill="1" applyBorder="1" applyAlignment="1">
      <alignment vertical="center" wrapText="1" readingOrder="1"/>
    </xf>
    <xf numFmtId="0" fontId="25" fillId="31" borderId="10" xfId="0" applyFont="1" applyFill="1" applyBorder="1" applyAlignment="1">
      <alignment vertical="center" wrapText="1" readingOrder="1"/>
    </xf>
    <xf numFmtId="0" fontId="23" fillId="31" borderId="10" xfId="0" applyFont="1" applyFill="1" applyBorder="1" applyAlignment="1">
      <alignment vertical="center" wrapText="1" readingOrder="1"/>
    </xf>
    <xf numFmtId="173" fontId="19" fillId="31" borderId="10" xfId="0" applyNumberFormat="1" applyFont="1" applyFill="1" applyBorder="1" applyAlignment="1">
      <alignment vertical="center" wrapText="1" readingOrder="1"/>
    </xf>
    <xf numFmtId="41" fontId="22" fillId="27" borderId="11" xfId="180" applyFont="1" applyFill="1" applyBorder="1" applyAlignment="1">
      <alignment horizontal="right" vertical="center" wrapText="1" readingOrder="1"/>
    </xf>
    <xf numFmtId="41" fontId="19" fillId="0" borderId="0" xfId="180" applyFont="1" applyAlignment="1">
      <alignment horizontal="left" vertical="center" wrapText="1" readingOrder="1"/>
    </xf>
    <xf numFmtId="41" fontId="19" fillId="0" borderId="15" xfId="180" applyFont="1" applyBorder="1" applyAlignment="1">
      <alignment horizontal="right" vertical="center" wrapText="1" readingOrder="1"/>
    </xf>
    <xf numFmtId="41" fontId="22" fillId="29" borderId="11" xfId="180" applyFont="1" applyFill="1" applyBorder="1" applyAlignment="1">
      <alignment horizontal="right" vertical="center" wrapText="1" readingOrder="1"/>
    </xf>
    <xf numFmtId="41" fontId="22" fillId="29" borderId="11" xfId="180" applyFont="1" applyFill="1" applyBorder="1" applyAlignment="1">
      <alignment vertical="center" wrapText="1" readingOrder="1"/>
    </xf>
    <xf numFmtId="41" fontId="19" fillId="0" borderId="0" xfId="0" applyNumberFormat="1" applyFont="1"/>
    <xf numFmtId="0" fontId="19" fillId="25" borderId="11" xfId="0" applyFont="1" applyFill="1" applyBorder="1" applyAlignment="1">
      <alignment horizontal="left" vertical="center" wrapText="1" readingOrder="1"/>
    </xf>
    <xf numFmtId="41" fontId="19" fillId="25" borderId="11" xfId="180" applyFont="1" applyFill="1" applyBorder="1" applyAlignment="1">
      <alignment vertical="center" wrapText="1" readingOrder="1"/>
    </xf>
    <xf numFmtId="9" fontId="19" fillId="25" borderId="11" xfId="89" applyFont="1" applyFill="1" applyBorder="1" applyAlignment="1">
      <alignment horizontal="center" vertical="center" wrapText="1" readingOrder="1"/>
    </xf>
    <xf numFmtId="9" fontId="19" fillId="25" borderId="12" xfId="89" applyFont="1" applyFill="1" applyBorder="1" applyAlignment="1">
      <alignment horizontal="center" vertical="center" wrapText="1" readingOrder="1"/>
    </xf>
    <xf numFmtId="41" fontId="19" fillId="25" borderId="13" xfId="180" applyFont="1" applyFill="1" applyBorder="1" applyAlignment="1">
      <alignment horizontal="right" vertical="center" wrapText="1" readingOrder="1"/>
    </xf>
    <xf numFmtId="9" fontId="19" fillId="25" borderId="14" xfId="89" applyFont="1" applyFill="1" applyBorder="1" applyAlignment="1">
      <alignment horizontal="center" vertical="center" wrapText="1" readingOrder="1"/>
    </xf>
    <xf numFmtId="41" fontId="19" fillId="25" borderId="11" xfId="180" applyFont="1" applyFill="1" applyBorder="1" applyAlignment="1">
      <alignment horizontal="right" vertical="center" wrapText="1" readingOrder="1"/>
    </xf>
    <xf numFmtId="9" fontId="19" fillId="25" borderId="13" xfId="89" applyFont="1" applyFill="1" applyBorder="1" applyAlignment="1">
      <alignment horizontal="center" vertical="center" wrapText="1" readingOrder="1"/>
    </xf>
    <xf numFmtId="9" fontId="19" fillId="25" borderId="16" xfId="89" applyFont="1" applyFill="1" applyBorder="1" applyAlignment="1">
      <alignment horizontal="center" vertical="center" wrapText="1" readingOrder="1"/>
    </xf>
    <xf numFmtId="41" fontId="19" fillId="25" borderId="16" xfId="180" applyFont="1" applyFill="1" applyBorder="1" applyAlignment="1">
      <alignment horizontal="right" vertical="center" wrapText="1" readingOrder="1"/>
    </xf>
    <xf numFmtId="41" fontId="23" fillId="0" borderId="10" xfId="0" applyNumberFormat="1" applyFont="1" applyBorder="1" applyAlignment="1">
      <alignment vertical="center" wrapText="1" readingOrder="1"/>
    </xf>
    <xf numFmtId="41" fontId="19" fillId="0" borderId="20" xfId="180" applyFont="1" applyBorder="1" applyAlignment="1">
      <alignment vertical="center"/>
    </xf>
    <xf numFmtId="41" fontId="21" fillId="24" borderId="17" xfId="180" applyFont="1" applyFill="1" applyBorder="1" applyAlignment="1">
      <alignment horizontal="right" vertical="center" wrapText="1" readingOrder="1"/>
    </xf>
    <xf numFmtId="41" fontId="21" fillId="24" borderId="14" xfId="180" applyFont="1" applyFill="1" applyBorder="1" applyAlignment="1">
      <alignment horizontal="right" vertical="center" wrapText="1" readingOrder="1"/>
    </xf>
    <xf numFmtId="9" fontId="19" fillId="0" borderId="15" xfId="89" applyFont="1" applyBorder="1" applyAlignment="1">
      <alignment horizontal="center" vertical="center"/>
    </xf>
    <xf numFmtId="9" fontId="21" fillId="24" borderId="15" xfId="89" applyFont="1" applyFill="1" applyBorder="1" applyAlignment="1">
      <alignment horizontal="center" vertical="center" wrapText="1" readingOrder="1"/>
    </xf>
    <xf numFmtId="179" fontId="19" fillId="25" borderId="11" xfId="89" applyNumberFormat="1" applyFont="1" applyFill="1" applyBorder="1" applyAlignment="1">
      <alignment horizontal="center" vertical="center" wrapText="1" readingOrder="1"/>
    </xf>
    <xf numFmtId="10" fontId="19" fillId="25" borderId="11" xfId="89" applyNumberFormat="1" applyFont="1" applyFill="1" applyBorder="1" applyAlignment="1">
      <alignment horizontal="center" vertical="center" wrapText="1" readingOrder="1"/>
    </xf>
    <xf numFmtId="179" fontId="19" fillId="25" borderId="16" xfId="89" applyNumberFormat="1" applyFont="1" applyFill="1" applyBorder="1" applyAlignment="1">
      <alignment horizontal="center" vertical="center" wrapText="1" readingOrder="1"/>
    </xf>
    <xf numFmtId="179" fontId="19" fillId="0" borderId="15" xfId="89" applyNumberFormat="1" applyFont="1" applyBorder="1" applyAlignment="1">
      <alignment horizontal="center" vertical="center"/>
    </xf>
    <xf numFmtId="41" fontId="19" fillId="0" borderId="11" xfId="180" applyFont="1" applyFill="1" applyBorder="1" applyAlignment="1">
      <alignment horizontal="right" vertical="center" wrapText="1" readingOrder="1"/>
    </xf>
    <xf numFmtId="41" fontId="19" fillId="25" borderId="15" xfId="180" applyFont="1" applyFill="1" applyBorder="1"/>
    <xf numFmtId="41" fontId="19" fillId="25" borderId="15" xfId="180" applyFont="1" applyFill="1" applyBorder="1" applyAlignment="1">
      <alignment horizontal="center"/>
    </xf>
    <xf numFmtId="41" fontId="19" fillId="25" borderId="15" xfId="0" applyNumberFormat="1" applyFont="1" applyFill="1" applyBorder="1"/>
    <xf numFmtId="9" fontId="19" fillId="25" borderId="15" xfId="89" applyFont="1" applyFill="1" applyBorder="1" applyAlignment="1">
      <alignment horizontal="center"/>
    </xf>
    <xf numFmtId="164" fontId="19" fillId="25" borderId="15" xfId="61" applyFont="1" applyFill="1" applyBorder="1"/>
    <xf numFmtId="0" fontId="19" fillId="25" borderId="15" xfId="0" applyFont="1" applyFill="1" applyBorder="1" applyAlignment="1">
      <alignment horizontal="center" readingOrder="1"/>
    </xf>
    <xf numFmtId="41" fontId="19" fillId="31" borderId="11" xfId="180" applyFont="1" applyFill="1" applyBorder="1" applyAlignment="1">
      <alignment vertical="center" wrapText="1" readingOrder="1"/>
    </xf>
    <xf numFmtId="180" fontId="19" fillId="0" borderId="0" xfId="180" applyNumberFormat="1" applyFont="1"/>
    <xf numFmtId="180" fontId="19" fillId="31" borderId="0" xfId="180" applyNumberFormat="1" applyFont="1" applyFill="1"/>
    <xf numFmtId="41" fontId="26" fillId="31" borderId="11" xfId="180" applyFont="1" applyFill="1" applyBorder="1" applyAlignment="1">
      <alignment vertical="center" wrapText="1" readingOrder="1"/>
    </xf>
    <xf numFmtId="0" fontId="46" fillId="0" borderId="0" xfId="0" applyFont="1"/>
    <xf numFmtId="164" fontId="46" fillId="0" borderId="0" xfId="61" applyFont="1"/>
    <xf numFmtId="0" fontId="47" fillId="0" borderId="0" xfId="0" applyFont="1" applyAlignment="1">
      <alignment vertical="center" wrapText="1" readingOrder="1"/>
    </xf>
    <xf numFmtId="173" fontId="48" fillId="0" borderId="0" xfId="0" applyNumberFormat="1" applyFont="1" applyAlignment="1">
      <alignment vertical="center" wrapText="1" readingOrder="1"/>
    </xf>
    <xf numFmtId="0" fontId="45" fillId="24" borderId="0" xfId="0" applyFont="1" applyFill="1" applyAlignment="1">
      <alignment horizontal="center" vertical="center" wrapText="1" readingOrder="1"/>
    </xf>
    <xf numFmtId="0" fontId="45" fillId="64" borderId="0" xfId="0" applyFont="1" applyFill="1" applyAlignment="1">
      <alignment horizontal="center" vertical="center" wrapText="1" readingOrder="1"/>
    </xf>
    <xf numFmtId="0" fontId="49" fillId="0" borderId="0" xfId="0" applyFont="1" applyAlignment="1">
      <alignment horizontal="justify" vertical="justify" readingOrder="1"/>
    </xf>
    <xf numFmtId="9" fontId="49" fillId="0" borderId="0" xfId="89" applyFont="1" applyFill="1" applyBorder="1" applyAlignment="1">
      <alignment horizontal="center" vertical="center" wrapText="1" readingOrder="1"/>
    </xf>
    <xf numFmtId="173" fontId="49" fillId="0" borderId="0" xfId="180" applyNumberFormat="1" applyFont="1" applyFill="1" applyBorder="1" applyAlignment="1">
      <alignment horizontal="right" vertical="center" wrapText="1" readingOrder="1"/>
    </xf>
    <xf numFmtId="164" fontId="49" fillId="0" borderId="0" xfId="61" applyFont="1" applyFill="1" applyBorder="1" applyAlignment="1">
      <alignment horizontal="right" vertical="center" wrapText="1" readingOrder="1"/>
    </xf>
    <xf numFmtId="173" fontId="49" fillId="0" borderId="0" xfId="61" applyNumberFormat="1" applyFont="1" applyFill="1" applyBorder="1" applyAlignment="1">
      <alignment horizontal="right" vertical="center" wrapText="1" readingOrder="1"/>
    </xf>
    <xf numFmtId="173" fontId="46" fillId="0" borderId="0" xfId="0" applyNumberFormat="1" applyFont="1"/>
    <xf numFmtId="0" fontId="49" fillId="0" borderId="0" xfId="0" applyFont="1" applyAlignment="1">
      <alignment horizontal="left" vertical="center" wrapText="1" readingOrder="1"/>
    </xf>
    <xf numFmtId="0" fontId="48" fillId="0" borderId="0" xfId="0" applyFont="1" applyAlignment="1">
      <alignment horizontal="left" vertical="center" wrapText="1" readingOrder="1"/>
    </xf>
    <xf numFmtId="164" fontId="46" fillId="0" borderId="0" xfId="61" applyFont="1" applyFill="1"/>
    <xf numFmtId="164" fontId="46" fillId="0" borderId="0" xfId="0" applyNumberFormat="1" applyFont="1"/>
    <xf numFmtId="0" fontId="47" fillId="63" borderId="0" xfId="0" applyFont="1" applyFill="1" applyAlignment="1">
      <alignment horizontal="left" vertical="center" wrapText="1" indent="8" readingOrder="1"/>
    </xf>
    <xf numFmtId="164" fontId="53" fillId="0" borderId="0" xfId="61" applyFont="1" applyFill="1"/>
    <xf numFmtId="173" fontId="45" fillId="64" borderId="0" xfId="61" applyNumberFormat="1" applyFont="1" applyFill="1" applyBorder="1" applyAlignment="1">
      <alignment horizontal="right" vertical="center" wrapText="1" readingOrder="1"/>
    </xf>
    <xf numFmtId="173" fontId="49" fillId="0" borderId="0" xfId="180" applyNumberFormat="1" applyFont="1" applyBorder="1" applyAlignment="1">
      <alignment horizontal="right" vertical="center" wrapText="1" readingOrder="1"/>
    </xf>
    <xf numFmtId="0" fontId="49" fillId="0" borderId="0" xfId="0" applyFont="1" applyAlignment="1">
      <alignment horizontal="justify" vertical="justify" wrapText="1" readingOrder="1"/>
    </xf>
    <xf numFmtId="0" fontId="49" fillId="0" borderId="0" xfId="0" applyFont="1"/>
    <xf numFmtId="173" fontId="49" fillId="0" borderId="0" xfId="180" applyNumberFormat="1" applyFont="1" applyBorder="1"/>
    <xf numFmtId="0" fontId="46" fillId="0" borderId="0" xfId="0" applyFont="1" applyAlignment="1">
      <alignment vertical="center"/>
    </xf>
    <xf numFmtId="173" fontId="46" fillId="0" borderId="0" xfId="180" applyNumberFormat="1" applyFont="1"/>
    <xf numFmtId="0" fontId="57" fillId="0" borderId="0" xfId="0" applyFont="1"/>
    <xf numFmtId="43" fontId="46" fillId="0" borderId="0" xfId="0" applyNumberFormat="1" applyFont="1"/>
    <xf numFmtId="164" fontId="51" fillId="0" borderId="0" xfId="61" applyFont="1"/>
    <xf numFmtId="173" fontId="46" fillId="0" borderId="0" xfId="61" applyNumberFormat="1" applyFont="1"/>
    <xf numFmtId="173" fontId="49" fillId="0" borderId="0" xfId="61" applyNumberFormat="1" applyFont="1" applyFill="1" applyBorder="1" applyAlignment="1">
      <alignment vertical="center" wrapText="1"/>
    </xf>
    <xf numFmtId="41" fontId="48" fillId="0" borderId="0" xfId="180" applyFont="1" applyFill="1" applyBorder="1" applyAlignment="1">
      <alignment horizontal="left" vertical="center" wrapText="1"/>
    </xf>
    <xf numFmtId="173" fontId="49" fillId="0" borderId="0" xfId="61" applyNumberFormat="1" applyFont="1" applyAlignment="1">
      <alignment vertical="center"/>
    </xf>
    <xf numFmtId="173" fontId="49" fillId="0" borderId="0" xfId="0" applyNumberFormat="1" applyFont="1" applyAlignment="1">
      <alignment vertical="center"/>
    </xf>
    <xf numFmtId="0" fontId="58" fillId="0" borderId="0" xfId="0" applyFont="1" applyAlignment="1">
      <alignment vertical="center"/>
    </xf>
    <xf numFmtId="164" fontId="45" fillId="24" borderId="0" xfId="61" applyFont="1" applyFill="1" applyBorder="1" applyAlignment="1">
      <alignment horizontal="center" vertical="center" wrapText="1"/>
    </xf>
    <xf numFmtId="173" fontId="45" fillId="64" borderId="0" xfId="61" applyNumberFormat="1" applyFont="1" applyFill="1" applyBorder="1" applyAlignment="1">
      <alignment horizontal="center" vertical="center" wrapText="1"/>
    </xf>
    <xf numFmtId="173" fontId="45" fillId="64" borderId="0" xfId="180" applyNumberFormat="1" applyFont="1" applyFill="1" applyBorder="1" applyAlignment="1">
      <alignment horizontal="center" vertical="center" wrapText="1"/>
    </xf>
    <xf numFmtId="164" fontId="46" fillId="0" borderId="0" xfId="61" applyFont="1" applyAlignment="1">
      <alignment vertical="center"/>
    </xf>
    <xf numFmtId="0" fontId="52" fillId="0" borderId="0" xfId="0" applyFont="1" applyAlignment="1">
      <alignment vertical="center" wrapText="1"/>
    </xf>
    <xf numFmtId="173" fontId="48" fillId="0" borderId="0" xfId="0" applyNumberFormat="1" applyFont="1" applyAlignment="1">
      <alignment horizontal="left" vertical="center" wrapText="1"/>
    </xf>
    <xf numFmtId="173" fontId="48" fillId="0" borderId="0" xfId="61" applyNumberFormat="1" applyFont="1" applyAlignment="1">
      <alignment vertical="center" wrapText="1"/>
    </xf>
    <xf numFmtId="173" fontId="48" fillId="0" borderId="0" xfId="0" applyNumberFormat="1" applyFont="1" applyAlignment="1">
      <alignment vertical="center" wrapText="1"/>
    </xf>
    <xf numFmtId="173" fontId="48" fillId="0" borderId="0" xfId="61" applyNumberFormat="1" applyFont="1" applyFill="1" applyBorder="1" applyAlignment="1">
      <alignment vertical="center" wrapText="1"/>
    </xf>
    <xf numFmtId="173" fontId="49" fillId="0" borderId="0" xfId="61" applyNumberFormat="1" applyFont="1" applyFill="1" applyBorder="1" applyAlignment="1">
      <alignment horizontal="right" vertical="center" wrapText="1"/>
    </xf>
    <xf numFmtId="173" fontId="46" fillId="0" borderId="0" xfId="0" applyNumberFormat="1" applyFont="1" applyAlignment="1">
      <alignment vertical="center"/>
    </xf>
    <xf numFmtId="173" fontId="48" fillId="26" borderId="0" xfId="61" applyNumberFormat="1" applyFont="1" applyFill="1" applyBorder="1" applyAlignment="1">
      <alignment horizontal="left" vertical="center" wrapText="1"/>
    </xf>
    <xf numFmtId="173" fontId="48" fillId="26" borderId="0" xfId="61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vertical="center"/>
    </xf>
    <xf numFmtId="173" fontId="48" fillId="0" borderId="0" xfId="0" applyNumberFormat="1" applyFont="1" applyAlignment="1">
      <alignment horizontal="left" vertical="center"/>
    </xf>
    <xf numFmtId="173" fontId="48" fillId="0" borderId="0" xfId="61" applyNumberFormat="1" applyFont="1" applyFill="1" applyBorder="1" applyAlignment="1">
      <alignment horizontal="right" vertical="center"/>
    </xf>
    <xf numFmtId="173" fontId="48" fillId="26" borderId="0" xfId="180" applyNumberFormat="1" applyFont="1" applyFill="1" applyBorder="1" applyAlignment="1">
      <alignment horizontal="left" vertical="center" wrapText="1"/>
    </xf>
    <xf numFmtId="173" fontId="49" fillId="0" borderId="0" xfId="61" applyNumberFormat="1" applyFont="1" applyBorder="1" applyAlignment="1">
      <alignment vertical="center"/>
    </xf>
    <xf numFmtId="173" fontId="50" fillId="0" borderId="0" xfId="61" applyNumberFormat="1" applyFont="1" applyBorder="1" applyAlignment="1">
      <alignment horizontal="right" vertical="center"/>
    </xf>
    <xf numFmtId="173" fontId="45" fillId="0" borderId="0" xfId="61" applyNumberFormat="1" applyFont="1" applyBorder="1" applyAlignment="1">
      <alignment vertical="center"/>
    </xf>
    <xf numFmtId="0" fontId="49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173" fontId="46" fillId="0" borderId="0" xfId="61" applyNumberFormat="1" applyFont="1" applyAlignment="1">
      <alignment vertical="center"/>
    </xf>
    <xf numFmtId="173" fontId="46" fillId="0" borderId="0" xfId="89" applyNumberFormat="1" applyFont="1" applyAlignment="1">
      <alignment horizontal="center" vertical="center"/>
    </xf>
    <xf numFmtId="173" fontId="46" fillId="0" borderId="0" xfId="0" applyNumberFormat="1" applyFont="1" applyAlignment="1">
      <alignment horizontal="center" vertical="center"/>
    </xf>
    <xf numFmtId="0" fontId="61" fillId="0" borderId="0" xfId="0" applyFont="1" applyAlignment="1">
      <alignment vertical="center"/>
    </xf>
    <xf numFmtId="173" fontId="61" fillId="0" borderId="0" xfId="184" applyNumberFormat="1" applyFont="1" applyAlignment="1">
      <alignment horizontal="center" vertical="center"/>
    </xf>
    <xf numFmtId="1" fontId="61" fillId="0" borderId="0" xfId="0" applyNumberFormat="1" applyFont="1" applyAlignment="1">
      <alignment vertical="center"/>
    </xf>
    <xf numFmtId="41" fontId="63" fillId="66" borderId="15" xfId="180" applyFont="1" applyFill="1" applyBorder="1" applyAlignment="1">
      <alignment horizontal="center" vertical="center" wrapText="1"/>
    </xf>
    <xf numFmtId="173" fontId="63" fillId="66" borderId="15" xfId="184" applyNumberFormat="1" applyFont="1" applyFill="1" applyBorder="1" applyAlignment="1">
      <alignment horizontal="center" vertical="center" wrapText="1"/>
    </xf>
    <xf numFmtId="1" fontId="61" fillId="0" borderId="0" xfId="180" applyNumberFormat="1" applyFont="1" applyFill="1" applyAlignment="1">
      <alignment vertical="center"/>
    </xf>
    <xf numFmtId="41" fontId="61" fillId="0" borderId="0" xfId="0" applyNumberFormat="1" applyFont="1" applyAlignment="1">
      <alignment vertical="center"/>
    </xf>
    <xf numFmtId="0" fontId="61" fillId="66" borderId="0" xfId="0" applyFont="1" applyFill="1" applyAlignment="1">
      <alignment vertical="center"/>
    </xf>
    <xf numFmtId="173" fontId="63" fillId="66" borderId="15" xfId="61" applyNumberFormat="1" applyFont="1" applyFill="1" applyBorder="1" applyAlignment="1">
      <alignment horizontal="center" vertical="center" wrapText="1"/>
    </xf>
    <xf numFmtId="4" fontId="61" fillId="0" borderId="0" xfId="0" applyNumberFormat="1" applyFont="1" applyAlignment="1">
      <alignment vertical="center"/>
    </xf>
    <xf numFmtId="0" fontId="61" fillId="0" borderId="0" xfId="0" applyFont="1" applyAlignment="1">
      <alignment horizontal="left" wrapText="1"/>
    </xf>
    <xf numFmtId="173" fontId="61" fillId="0" borderId="0" xfId="184" applyNumberFormat="1" applyFont="1" applyFill="1" applyAlignment="1">
      <alignment vertical="center"/>
    </xf>
    <xf numFmtId="173" fontId="53" fillId="0" borderId="0" xfId="184" applyNumberFormat="1" applyFont="1" applyFill="1" applyAlignment="1">
      <alignment horizontal="center" vertical="center"/>
    </xf>
    <xf numFmtId="0" fontId="51" fillId="0" borderId="0" xfId="0" applyFont="1"/>
    <xf numFmtId="44" fontId="63" fillId="66" borderId="15" xfId="521" applyFont="1" applyFill="1" applyBorder="1" applyAlignment="1">
      <alignment horizontal="center" vertical="center" wrapText="1"/>
    </xf>
    <xf numFmtId="173" fontId="63" fillId="66" borderId="15" xfId="521" applyNumberFormat="1" applyFont="1" applyFill="1" applyBorder="1" applyAlignment="1">
      <alignment horizontal="center" vertical="center" wrapText="1"/>
    </xf>
    <xf numFmtId="181" fontId="63" fillId="66" borderId="0" xfId="0" applyNumberFormat="1" applyFont="1" applyFill="1" applyAlignment="1">
      <alignment horizontal="center" vertical="center"/>
    </xf>
    <xf numFmtId="181" fontId="61" fillId="0" borderId="0" xfId="0" applyNumberFormat="1" applyFont="1" applyAlignment="1">
      <alignment horizontal="center" vertical="center"/>
    </xf>
    <xf numFmtId="44" fontId="61" fillId="0" borderId="0" xfId="521" applyFont="1" applyFill="1" applyAlignment="1">
      <alignment horizontal="center" vertical="center" wrapText="1"/>
    </xf>
    <xf numFmtId="173" fontId="61" fillId="0" borderId="0" xfId="61" applyNumberFormat="1" applyFont="1" applyAlignment="1">
      <alignment horizontal="center" vertical="center"/>
    </xf>
    <xf numFmtId="173" fontId="53" fillId="0" borderId="0" xfId="61" applyNumberFormat="1" applyFont="1" applyFill="1" applyAlignment="1">
      <alignment horizontal="center" vertical="center"/>
    </xf>
    <xf numFmtId="164" fontId="45" fillId="64" borderId="0" xfId="61" applyFont="1" applyFill="1" applyBorder="1" applyAlignment="1">
      <alignment horizontal="right" vertical="center" wrapText="1" readingOrder="1"/>
    </xf>
    <xf numFmtId="164" fontId="63" fillId="66" borderId="20" xfId="61" applyFont="1" applyFill="1" applyBorder="1" applyAlignment="1">
      <alignment horizontal="center" vertical="center" wrapText="1"/>
    </xf>
    <xf numFmtId="164" fontId="63" fillId="66" borderId="15" xfId="61" applyFont="1" applyFill="1" applyBorder="1" applyAlignment="1">
      <alignment horizontal="center" vertical="center" wrapText="1"/>
    </xf>
    <xf numFmtId="4" fontId="0" fillId="0" borderId="0" xfId="0" applyNumberFormat="1"/>
    <xf numFmtId="164" fontId="45" fillId="24" borderId="0" xfId="61" applyFont="1" applyFill="1" applyBorder="1" applyAlignment="1">
      <alignment horizontal="right" vertical="center" wrapText="1" readingOrder="1"/>
    </xf>
    <xf numFmtId="0" fontId="64" fillId="68" borderId="0" xfId="0" applyFont="1" applyFill="1" applyAlignment="1">
      <alignment horizontal="center" vertical="center" wrapText="1" readingOrder="1"/>
    </xf>
    <xf numFmtId="0" fontId="49" fillId="0" borderId="0" xfId="0" applyFont="1" applyAlignment="1">
      <alignment horizontal="left" vertical="justify" readingOrder="1"/>
    </xf>
    <xf numFmtId="164" fontId="54" fillId="0" borderId="0" xfId="61" applyFont="1" applyFill="1" applyBorder="1" applyAlignment="1">
      <alignment horizontal="right" vertical="center" wrapText="1" readingOrder="1"/>
    </xf>
    <xf numFmtId="164" fontId="53" fillId="0" borderId="0" xfId="61" applyFont="1" applyFill="1" applyBorder="1" applyAlignment="1">
      <alignment horizontal="center" vertical="center" wrapText="1" readingOrder="1"/>
    </xf>
    <xf numFmtId="0" fontId="47" fillId="0" borderId="0" xfId="0" applyFont="1" applyAlignment="1">
      <alignment horizontal="left" vertical="center" wrapText="1" indent="8" readingOrder="1"/>
    </xf>
    <xf numFmtId="0" fontId="45" fillId="24" borderId="0" xfId="0" applyFont="1" applyFill="1" applyAlignment="1">
      <alignment horizontal="center" vertical="center" wrapText="1"/>
    </xf>
    <xf numFmtId="43" fontId="51" fillId="0" borderId="0" xfId="0" applyNumberFormat="1" applyFont="1"/>
    <xf numFmtId="0" fontId="61" fillId="0" borderId="0" xfId="0" applyFont="1"/>
    <xf numFmtId="0" fontId="53" fillId="0" borderId="0" xfId="0" applyFont="1" applyAlignment="1">
      <alignment horizontal="left" vertical="top" wrapText="1" readingOrder="1"/>
    </xf>
    <xf numFmtId="0" fontId="61" fillId="0" borderId="0" xfId="0" applyFont="1" applyAlignment="1">
      <alignment vertical="top"/>
    </xf>
    <xf numFmtId="164" fontId="45" fillId="24" borderId="0" xfId="61" applyFont="1" applyFill="1"/>
    <xf numFmtId="0" fontId="53" fillId="0" borderId="0" xfId="0" applyFont="1" applyAlignment="1">
      <alignment horizontal="center" vertical="center" wrapText="1" readingOrder="1"/>
    </xf>
    <xf numFmtId="164" fontId="61" fillId="0" borderId="0" xfId="61" applyFont="1"/>
    <xf numFmtId="0" fontId="45" fillId="69" borderId="0" xfId="0" applyFont="1" applyFill="1" applyAlignment="1">
      <alignment horizontal="center" vertical="center" wrapText="1"/>
    </xf>
    <xf numFmtId="43" fontId="45" fillId="69" borderId="0" xfId="0" applyNumberFormat="1" applyFont="1" applyFill="1"/>
    <xf numFmtId="0" fontId="55" fillId="0" borderId="0" xfId="0" applyFont="1"/>
    <xf numFmtId="0" fontId="61" fillId="0" borderId="0" xfId="0" applyFont="1" applyAlignment="1">
      <alignment horizontal="center" vertical="center"/>
    </xf>
    <xf numFmtId="164" fontId="45" fillId="24" borderId="0" xfId="61" applyFont="1" applyFill="1" applyBorder="1" applyAlignment="1">
      <alignment horizontal="left" vertical="center" wrapText="1"/>
    </xf>
    <xf numFmtId="1" fontId="51" fillId="0" borderId="0" xfId="0" applyNumberFormat="1" applyFont="1" applyAlignment="1">
      <alignment horizontal="center" vertical="center"/>
    </xf>
    <xf numFmtId="41" fontId="64" fillId="0" borderId="0" xfId="180" applyFont="1" applyFill="1" applyBorder="1" applyAlignment="1">
      <alignment vertical="center"/>
    </xf>
    <xf numFmtId="164" fontId="64" fillId="0" borderId="0" xfId="61" applyFont="1" applyFill="1" applyBorder="1" applyAlignment="1">
      <alignment horizontal="center" vertical="center" wrapText="1"/>
    </xf>
    <xf numFmtId="173" fontId="64" fillId="0" borderId="0" xfId="184" applyNumberFormat="1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1" fontId="64" fillId="65" borderId="15" xfId="180" applyNumberFormat="1" applyFont="1" applyFill="1" applyBorder="1" applyAlignment="1">
      <alignment horizontal="center" vertical="center" wrapText="1"/>
    </xf>
    <xf numFmtId="41" fontId="45" fillId="66" borderId="15" xfId="180" applyFont="1" applyFill="1" applyBorder="1" applyAlignment="1">
      <alignment horizontal="center" vertical="center" wrapText="1"/>
    </xf>
    <xf numFmtId="164" fontId="45" fillId="66" borderId="15" xfId="61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 wrapText="1"/>
    </xf>
    <xf numFmtId="41" fontId="64" fillId="67" borderId="15" xfId="180" applyFont="1" applyFill="1" applyBorder="1" applyAlignment="1">
      <alignment vertical="center"/>
    </xf>
    <xf numFmtId="164" fontId="64" fillId="0" borderId="0" xfId="139" applyFont="1" applyAlignment="1">
      <alignment vertical="center"/>
    </xf>
    <xf numFmtId="182" fontId="64" fillId="0" borderId="0" xfId="139" applyNumberFormat="1" applyFont="1" applyAlignment="1">
      <alignment vertical="center"/>
    </xf>
    <xf numFmtId="43" fontId="51" fillId="0" borderId="0" xfId="0" applyNumberFormat="1" applyFont="1" applyAlignment="1">
      <alignment vertical="center" wrapText="1"/>
    </xf>
    <xf numFmtId="43" fontId="64" fillId="67" borderId="15" xfId="184" applyFont="1" applyFill="1" applyBorder="1" applyAlignment="1">
      <alignment vertical="center"/>
    </xf>
    <xf numFmtId="43" fontId="64" fillId="0" borderId="0" xfId="184" applyFont="1" applyAlignment="1">
      <alignment vertical="center"/>
    </xf>
    <xf numFmtId="1" fontId="51" fillId="0" borderId="0" xfId="184" applyNumberFormat="1" applyFont="1" applyAlignment="1">
      <alignment horizontal="center" vertical="center"/>
    </xf>
    <xf numFmtId="41" fontId="51" fillId="0" borderId="15" xfId="180" applyFont="1" applyFill="1" applyBorder="1" applyAlignment="1">
      <alignment vertical="center"/>
    </xf>
    <xf numFmtId="43" fontId="51" fillId="0" borderId="0" xfId="184" applyFont="1" applyAlignment="1">
      <alignment vertical="center"/>
    </xf>
    <xf numFmtId="182" fontId="51" fillId="0" borderId="0" xfId="139" applyNumberFormat="1" applyFont="1" applyAlignment="1">
      <alignment vertical="center"/>
    </xf>
    <xf numFmtId="182" fontId="64" fillId="0" borderId="0" xfId="139" applyNumberFormat="1" applyFont="1" applyFill="1" applyAlignment="1">
      <alignment vertical="center"/>
    </xf>
    <xf numFmtId="43" fontId="51" fillId="0" borderId="0" xfId="184" applyFont="1" applyFill="1" applyAlignment="1">
      <alignment vertical="center"/>
    </xf>
    <xf numFmtId="183" fontId="51" fillId="0" borderId="0" xfId="184" applyNumberFormat="1" applyFont="1" applyAlignment="1">
      <alignment vertical="center"/>
    </xf>
    <xf numFmtId="4" fontId="51" fillId="0" borderId="0" xfId="0" applyNumberFormat="1" applyFont="1" applyAlignment="1">
      <alignment vertical="center"/>
    </xf>
    <xf numFmtId="173" fontId="51" fillId="0" borderId="0" xfId="0" applyNumberFormat="1" applyFont="1" applyAlignment="1">
      <alignment vertical="center"/>
    </xf>
    <xf numFmtId="164" fontId="51" fillId="0" borderId="0" xfId="61" applyFont="1" applyAlignment="1">
      <alignment vertical="center"/>
    </xf>
    <xf numFmtId="182" fontId="51" fillId="0" borderId="0" xfId="139" applyNumberFormat="1" applyFont="1" applyFill="1" applyAlignment="1">
      <alignment vertical="center"/>
    </xf>
    <xf numFmtId="41" fontId="51" fillId="0" borderId="0" xfId="180" applyFont="1" applyAlignment="1">
      <alignment vertical="center"/>
    </xf>
    <xf numFmtId="164" fontId="64" fillId="0" borderId="0" xfId="61" applyFont="1" applyAlignment="1">
      <alignment vertical="center"/>
    </xf>
    <xf numFmtId="164" fontId="51" fillId="0" borderId="0" xfId="61" applyFont="1" applyAlignment="1">
      <alignment horizontal="right" vertical="center"/>
    </xf>
    <xf numFmtId="173" fontId="64" fillId="0" borderId="0" xfId="184" applyNumberFormat="1" applyFont="1" applyAlignment="1">
      <alignment vertical="center"/>
    </xf>
    <xf numFmtId="173" fontId="51" fillId="0" borderId="0" xfId="184" applyNumberFormat="1" applyFont="1" applyAlignment="1">
      <alignment vertical="center"/>
    </xf>
    <xf numFmtId="173" fontId="51" fillId="0" borderId="0" xfId="180" applyNumberFormat="1" applyFont="1" applyAlignment="1">
      <alignment vertical="center"/>
    </xf>
    <xf numFmtId="183" fontId="51" fillId="0" borderId="0" xfId="184" applyNumberFormat="1" applyFont="1"/>
    <xf numFmtId="164" fontId="51" fillId="0" borderId="0" xfId="61" applyFont="1" applyFill="1" applyAlignment="1">
      <alignment vertical="center"/>
    </xf>
    <xf numFmtId="164" fontId="48" fillId="0" borderId="0" xfId="61" applyFont="1" applyAlignment="1">
      <alignment vertical="center"/>
    </xf>
    <xf numFmtId="182" fontId="45" fillId="66" borderId="15" xfId="61" applyNumberFormat="1" applyFont="1" applyFill="1" applyBorder="1" applyAlignment="1">
      <alignment horizontal="center" vertical="center" wrapText="1"/>
    </xf>
    <xf numFmtId="182" fontId="64" fillId="67" borderId="15" xfId="61" applyNumberFormat="1" applyFont="1" applyFill="1" applyBorder="1" applyAlignment="1">
      <alignment horizontal="right" vertical="center"/>
    </xf>
    <xf numFmtId="182" fontId="51" fillId="0" borderId="15" xfId="61" applyNumberFormat="1" applyFont="1" applyFill="1" applyBorder="1" applyAlignment="1">
      <alignment vertical="center"/>
    </xf>
    <xf numFmtId="182" fontId="64" fillId="67" borderId="15" xfId="61" applyNumberFormat="1" applyFont="1" applyFill="1" applyBorder="1" applyAlignment="1">
      <alignment vertical="center"/>
    </xf>
    <xf numFmtId="182" fontId="51" fillId="0" borderId="0" xfId="61" applyNumberFormat="1" applyFont="1" applyAlignment="1">
      <alignment vertical="center"/>
    </xf>
    <xf numFmtId="182" fontId="64" fillId="0" borderId="15" xfId="61" applyNumberFormat="1" applyFont="1" applyFill="1" applyBorder="1" applyAlignment="1">
      <alignment vertical="center"/>
    </xf>
    <xf numFmtId="182" fontId="51" fillId="0" borderId="0" xfId="61" applyNumberFormat="1" applyFont="1"/>
    <xf numFmtId="182" fontId="51" fillId="0" borderId="0" xfId="61" applyNumberFormat="1" applyFont="1" applyFill="1" applyAlignment="1">
      <alignment vertical="center"/>
    </xf>
    <xf numFmtId="182" fontId="64" fillId="0" borderId="0" xfId="61" applyNumberFormat="1" applyFont="1" applyAlignment="1">
      <alignment vertical="center"/>
    </xf>
    <xf numFmtId="41" fontId="67" fillId="64" borderId="15" xfId="180" applyFont="1" applyFill="1" applyBorder="1" applyAlignment="1">
      <alignment horizontal="left" vertical="center" wrapText="1"/>
    </xf>
    <xf numFmtId="0" fontId="68" fillId="0" borderId="15" xfId="0" applyFont="1" applyBorder="1" applyAlignment="1">
      <alignment horizontal="center" vertical="center"/>
    </xf>
    <xf numFmtId="0" fontId="53" fillId="0" borderId="15" xfId="0" applyFont="1" applyBorder="1" applyAlignment="1">
      <alignment horizontal="left" vertical="center" wrapText="1"/>
    </xf>
    <xf numFmtId="3" fontId="53" fillId="0" borderId="15" xfId="766" applyNumberFormat="1" applyFont="1" applyFill="1" applyBorder="1" applyAlignment="1">
      <alignment horizontal="center" vertical="center" wrapText="1"/>
    </xf>
    <xf numFmtId="173" fontId="53" fillId="0" borderId="15" xfId="766" applyNumberFormat="1" applyFont="1" applyFill="1" applyBorder="1" applyAlignment="1">
      <alignment horizontal="center" vertical="center" wrapText="1"/>
    </xf>
    <xf numFmtId="3" fontId="53" fillId="0" borderId="15" xfId="777" applyNumberFormat="1" applyFont="1" applyFill="1" applyBorder="1" applyAlignment="1">
      <alignment horizontal="center" vertical="center" wrapText="1"/>
    </xf>
    <xf numFmtId="173" fontId="53" fillId="0" borderId="15" xfId="777" applyNumberFormat="1" applyFont="1" applyFill="1" applyBorder="1" applyAlignment="1">
      <alignment horizontal="center" vertical="center" wrapText="1"/>
    </xf>
    <xf numFmtId="0" fontId="68" fillId="0" borderId="15" xfId="0" applyFont="1" applyBorder="1" applyAlignment="1">
      <alignment horizontal="center" vertical="center" wrapText="1"/>
    </xf>
    <xf numFmtId="0" fontId="53" fillId="0" borderId="0" xfId="0" applyFont="1" applyAlignment="1">
      <alignment horizontal="left" vertical="center" wrapText="1"/>
    </xf>
    <xf numFmtId="173" fontId="54" fillId="63" borderId="0" xfId="61" applyNumberFormat="1" applyFont="1" applyFill="1" applyBorder="1" applyAlignment="1">
      <alignment horizontal="right" vertical="center" wrapText="1" readingOrder="1"/>
    </xf>
    <xf numFmtId="173" fontId="45" fillId="24" borderId="0" xfId="61" applyNumberFormat="1" applyFont="1" applyFill="1" applyBorder="1" applyAlignment="1">
      <alignment horizontal="right" vertical="center" wrapText="1" readingOrder="1"/>
    </xf>
    <xf numFmtId="173" fontId="49" fillId="0" borderId="0" xfId="61" applyNumberFormat="1" applyFont="1" applyBorder="1"/>
    <xf numFmtId="164" fontId="64" fillId="63" borderId="15" xfId="61" applyFont="1" applyFill="1" applyBorder="1" applyAlignment="1">
      <alignment horizontal="center" vertical="center" wrapText="1"/>
    </xf>
    <xf numFmtId="182" fontId="64" fillId="63" borderId="15" xfId="61" applyNumberFormat="1" applyFont="1" applyFill="1" applyBorder="1" applyAlignment="1">
      <alignment horizontal="center" vertical="center" wrapText="1"/>
    </xf>
    <xf numFmtId="0" fontId="68" fillId="0" borderId="30" xfId="0" applyFont="1" applyBorder="1" applyAlignment="1">
      <alignment horizontal="center" vertical="center"/>
    </xf>
    <xf numFmtId="173" fontId="49" fillId="0" borderId="0" xfId="61" applyNumberFormat="1" applyFont="1" applyBorder="1" applyAlignment="1">
      <alignment horizontal="right" vertical="center"/>
    </xf>
    <xf numFmtId="173" fontId="45" fillId="24" borderId="0" xfId="61" applyNumberFormat="1" applyFont="1" applyFill="1" applyBorder="1" applyAlignment="1">
      <alignment horizontal="right" vertical="center" wrapText="1"/>
    </xf>
    <xf numFmtId="173" fontId="49" fillId="0" borderId="0" xfId="0" applyNumberFormat="1" applyFont="1" applyAlignment="1">
      <alignment horizontal="left" vertical="center" wrapText="1"/>
    </xf>
    <xf numFmtId="173" fontId="53" fillId="0" borderId="15" xfId="61" applyNumberFormat="1" applyFont="1" applyFill="1" applyBorder="1" applyAlignment="1">
      <alignment horizontal="center" vertical="center" wrapText="1"/>
    </xf>
    <xf numFmtId="173" fontId="63" fillId="66" borderId="0" xfId="61" applyNumberFormat="1" applyFont="1" applyFill="1" applyAlignment="1">
      <alignment horizontal="center" vertical="center"/>
    </xf>
    <xf numFmtId="173" fontId="61" fillId="0" borderId="0" xfId="61" applyNumberFormat="1" applyFont="1" applyFill="1" applyAlignment="1">
      <alignment vertical="center"/>
    </xf>
    <xf numFmtId="173" fontId="64" fillId="67" borderId="15" xfId="61" applyNumberFormat="1" applyFont="1" applyFill="1" applyBorder="1" applyAlignment="1">
      <alignment horizontal="right" vertical="center"/>
    </xf>
    <xf numFmtId="173" fontId="51" fillId="68" borderId="15" xfId="61" applyNumberFormat="1" applyFont="1" applyFill="1" applyBorder="1" applyAlignment="1">
      <alignment vertical="center"/>
    </xf>
    <xf numFmtId="173" fontId="51" fillId="0" borderId="15" xfId="61" applyNumberFormat="1" applyFont="1" applyFill="1" applyBorder="1" applyAlignment="1">
      <alignment vertical="center"/>
    </xf>
    <xf numFmtId="173" fontId="64" fillId="67" borderId="15" xfId="61" applyNumberFormat="1" applyFont="1" applyFill="1" applyBorder="1" applyAlignment="1">
      <alignment vertical="center"/>
    </xf>
    <xf numFmtId="173" fontId="51" fillId="0" borderId="0" xfId="61" applyNumberFormat="1" applyFont="1" applyAlignment="1">
      <alignment vertical="center"/>
    </xf>
    <xf numFmtId="173" fontId="47" fillId="0" borderId="0" xfId="0" applyNumberFormat="1" applyFont="1" applyAlignment="1">
      <alignment vertical="center" wrapText="1" readingOrder="1"/>
    </xf>
    <xf numFmtId="173" fontId="45" fillId="64" borderId="0" xfId="61" applyNumberFormat="1" applyFont="1" applyFill="1" applyBorder="1" applyAlignment="1">
      <alignment horizontal="right" vertical="center" wrapText="1"/>
    </xf>
    <xf numFmtId="173" fontId="45" fillId="32" borderId="0" xfId="61" applyNumberFormat="1" applyFont="1" applyFill="1" applyBorder="1" applyAlignment="1">
      <alignment horizontal="right" vertical="center" wrapText="1"/>
    </xf>
    <xf numFmtId="173" fontId="45" fillId="24" borderId="0" xfId="180" applyNumberFormat="1" applyFont="1" applyFill="1" applyBorder="1" applyAlignment="1">
      <alignment horizontal="center" vertical="center" wrapText="1"/>
    </xf>
    <xf numFmtId="173" fontId="48" fillId="0" borderId="0" xfId="180" applyNumberFormat="1" applyFont="1" applyFill="1" applyBorder="1" applyAlignment="1">
      <alignment vertical="center" wrapText="1"/>
    </xf>
    <xf numFmtId="173" fontId="49" fillId="0" borderId="0" xfId="180" applyNumberFormat="1" applyFont="1" applyAlignment="1">
      <alignment vertical="center"/>
    </xf>
    <xf numFmtId="173" fontId="45" fillId="64" borderId="0" xfId="0" applyNumberFormat="1" applyFont="1" applyFill="1" applyAlignment="1">
      <alignment horizontal="center" vertical="center" wrapText="1" readingOrder="1"/>
    </xf>
    <xf numFmtId="173" fontId="49" fillId="63" borderId="0" xfId="180" applyNumberFormat="1" applyFont="1" applyFill="1" applyBorder="1" applyAlignment="1">
      <alignment horizontal="right" vertical="center" wrapText="1" readingOrder="1"/>
    </xf>
    <xf numFmtId="173" fontId="53" fillId="63" borderId="0" xfId="89" applyNumberFormat="1" applyFont="1" applyFill="1" applyBorder="1" applyAlignment="1">
      <alignment horizontal="right" vertical="center" wrapText="1" readingOrder="1"/>
    </xf>
    <xf numFmtId="173" fontId="46" fillId="0" borderId="0" xfId="89" applyNumberFormat="1" applyFont="1"/>
    <xf numFmtId="173" fontId="53" fillId="63" borderId="0" xfId="180" applyNumberFormat="1" applyFont="1" applyFill="1" applyBorder="1" applyAlignment="1">
      <alignment horizontal="right" vertical="center" wrapText="1" readingOrder="1"/>
    </xf>
    <xf numFmtId="173" fontId="65" fillId="0" borderId="0" xfId="0" applyNumberFormat="1" applyFont="1"/>
    <xf numFmtId="173" fontId="65" fillId="0" borderId="0" xfId="61" applyNumberFormat="1" applyFont="1"/>
    <xf numFmtId="173" fontId="60" fillId="0" borderId="0" xfId="0" applyNumberFormat="1" applyFont="1"/>
    <xf numFmtId="173" fontId="48" fillId="32" borderId="0" xfId="0" applyNumberFormat="1" applyFont="1" applyFill="1" applyAlignment="1">
      <alignment horizontal="center" vertical="center" wrapText="1" readingOrder="1"/>
    </xf>
    <xf numFmtId="173" fontId="53" fillId="63" borderId="0" xfId="61" applyNumberFormat="1" applyFont="1" applyFill="1" applyBorder="1" applyAlignment="1">
      <alignment horizontal="right" vertical="center" wrapText="1" readingOrder="1"/>
    </xf>
    <xf numFmtId="173" fontId="48" fillId="26" borderId="0" xfId="61" applyNumberFormat="1" applyFont="1" applyFill="1" applyBorder="1" applyAlignment="1">
      <alignment horizontal="right" vertical="center" wrapText="1" readingOrder="1"/>
    </xf>
    <xf numFmtId="173" fontId="49" fillId="0" borderId="0" xfId="61" applyNumberFormat="1" applyFont="1" applyBorder="1" applyAlignment="1">
      <alignment vertical="center" wrapText="1" readingOrder="1"/>
    </xf>
    <xf numFmtId="173" fontId="49" fillId="0" borderId="0" xfId="61" applyNumberFormat="1" applyFont="1" applyBorder="1" applyAlignment="1">
      <alignment horizontal="right" vertical="center" wrapText="1" readingOrder="1"/>
    </xf>
    <xf numFmtId="173" fontId="59" fillId="0" borderId="0" xfId="61" applyNumberFormat="1" applyFont="1" applyBorder="1" applyAlignment="1">
      <alignment horizontal="left" vertical="center" wrapText="1" readingOrder="1"/>
    </xf>
    <xf numFmtId="173" fontId="46" fillId="0" borderId="0" xfId="89" applyNumberFormat="1" applyFont="1" applyAlignment="1">
      <alignment horizontal="center" readingOrder="1"/>
    </xf>
    <xf numFmtId="173" fontId="46" fillId="0" borderId="0" xfId="0" applyNumberFormat="1" applyFont="1" applyAlignment="1">
      <alignment horizontal="center"/>
    </xf>
    <xf numFmtId="173" fontId="51" fillId="0" borderId="0" xfId="61" applyNumberFormat="1" applyFont="1"/>
    <xf numFmtId="173" fontId="45" fillId="24" borderId="0" xfId="180" applyNumberFormat="1" applyFont="1" applyFill="1" applyBorder="1" applyAlignment="1">
      <alignment horizontal="center" vertical="center" wrapText="1" readingOrder="1"/>
    </xf>
    <xf numFmtId="173" fontId="47" fillId="0" borderId="0" xfId="180" applyNumberFormat="1" applyFont="1" applyBorder="1" applyAlignment="1">
      <alignment vertical="center" wrapText="1" readingOrder="1"/>
    </xf>
    <xf numFmtId="173" fontId="47" fillId="0" borderId="0" xfId="180" applyNumberFormat="1" applyFont="1" applyAlignment="1">
      <alignment vertical="center" wrapText="1" readingOrder="1"/>
    </xf>
    <xf numFmtId="0" fontId="45" fillId="24" borderId="0" xfId="0" applyFont="1" applyFill="1" applyAlignment="1">
      <alignment horizontal="center" vertical="center" wrapText="1"/>
    </xf>
    <xf numFmtId="173" fontId="45" fillId="24" borderId="0" xfId="0" applyNumberFormat="1" applyFont="1" applyFill="1" applyAlignment="1">
      <alignment horizontal="center" vertical="center" wrapText="1"/>
    </xf>
    <xf numFmtId="0" fontId="45" fillId="24" borderId="0" xfId="0" applyFont="1" applyFill="1" applyAlignment="1">
      <alignment horizontal="center"/>
    </xf>
    <xf numFmtId="0" fontId="45" fillId="24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/>
    </xf>
    <xf numFmtId="173" fontId="62" fillId="0" borderId="0" xfId="180" applyNumberFormat="1" applyFont="1" applyFill="1" applyBorder="1" applyAlignment="1">
      <alignment horizontal="center" vertical="center"/>
    </xf>
    <xf numFmtId="173" fontId="62" fillId="0" borderId="0" xfId="184" applyNumberFormat="1" applyFont="1" applyFill="1" applyBorder="1" applyAlignment="1">
      <alignment horizontal="center" vertical="center"/>
    </xf>
    <xf numFmtId="164" fontId="64" fillId="0" borderId="29" xfId="61" applyFont="1" applyFill="1" applyBorder="1" applyAlignment="1">
      <alignment horizontal="center" vertical="center" wrapText="1"/>
    </xf>
    <xf numFmtId="164" fontId="64" fillId="0" borderId="0" xfId="61" applyFont="1" applyFill="1" applyBorder="1" applyAlignment="1">
      <alignment horizontal="center" vertical="center" wrapText="1"/>
    </xf>
    <xf numFmtId="173" fontId="70" fillId="0" borderId="0" xfId="0" applyNumberFormat="1" applyFont="1" applyAlignment="1">
      <alignment horizontal="center" vertical="center" wrapText="1" readingOrder="1"/>
    </xf>
    <xf numFmtId="164" fontId="48" fillId="32" borderId="0" xfId="61" applyFont="1" applyFill="1" applyAlignment="1">
      <alignment horizontal="center" vertical="center" wrapText="1" readingOrder="1"/>
    </xf>
    <xf numFmtId="164" fontId="48" fillId="26" borderId="0" xfId="61" applyFont="1" applyFill="1" applyBorder="1" applyAlignment="1">
      <alignment horizontal="right" vertical="center" wrapText="1" readingOrder="1"/>
    </xf>
    <xf numFmtId="164" fontId="46" fillId="0" borderId="0" xfId="61" applyFont="1" applyAlignment="1">
      <alignment horizontal="center" readingOrder="1"/>
    </xf>
    <xf numFmtId="173" fontId="45" fillId="69" borderId="0" xfId="0" applyNumberFormat="1" applyFont="1" applyFill="1" applyAlignment="1">
      <alignment horizontal="center" vertical="center" wrapText="1" readingOrder="1"/>
    </xf>
    <xf numFmtId="173" fontId="45" fillId="69" borderId="0" xfId="180" applyNumberFormat="1" applyFont="1" applyFill="1" applyBorder="1" applyAlignment="1">
      <alignment horizontal="center" vertical="center" wrapText="1" readingOrder="1"/>
    </xf>
    <xf numFmtId="173" fontId="47" fillId="68" borderId="0" xfId="0" applyNumberFormat="1" applyFont="1" applyFill="1" applyAlignment="1">
      <alignment horizontal="right" vertical="center" wrapText="1"/>
    </xf>
    <xf numFmtId="173" fontId="47" fillId="68" borderId="0" xfId="61" applyNumberFormat="1" applyFont="1" applyFill="1" applyBorder="1" applyAlignment="1">
      <alignment vertical="center" wrapText="1"/>
    </xf>
    <xf numFmtId="173" fontId="70" fillId="0" borderId="0" xfId="0" applyNumberFormat="1" applyFont="1" applyAlignment="1">
      <alignment vertical="center" wrapText="1" readingOrder="1"/>
    </xf>
    <xf numFmtId="173" fontId="64" fillId="32" borderId="0" xfId="61" applyNumberFormat="1" applyFont="1" applyFill="1" applyBorder="1" applyAlignment="1">
      <alignment horizontal="center" vertical="center" wrapText="1"/>
    </xf>
    <xf numFmtId="173" fontId="64" fillId="32" borderId="0" xfId="180" applyNumberFormat="1" applyFont="1" applyFill="1" applyBorder="1" applyAlignment="1">
      <alignment horizontal="center" vertical="center" wrapText="1"/>
    </xf>
    <xf numFmtId="0" fontId="46" fillId="68" borderId="0" xfId="0" applyFont="1" applyFill="1" applyAlignment="1">
      <alignment vertical="center"/>
    </xf>
    <xf numFmtId="173" fontId="49" fillId="68" borderId="0" xfId="61" applyNumberFormat="1" applyFont="1" applyFill="1" applyBorder="1" applyAlignment="1">
      <alignment vertical="center" wrapText="1"/>
    </xf>
    <xf numFmtId="173" fontId="49" fillId="68" borderId="0" xfId="61" applyNumberFormat="1" applyFont="1" applyFill="1" applyBorder="1" applyAlignment="1">
      <alignment horizontal="right" vertical="center" wrapText="1"/>
    </xf>
    <xf numFmtId="173" fontId="46" fillId="68" borderId="0" xfId="0" applyNumberFormat="1" applyFont="1" applyFill="1" applyAlignment="1">
      <alignment vertical="center"/>
    </xf>
    <xf numFmtId="173" fontId="47" fillId="68" borderId="0" xfId="61" applyNumberFormat="1" applyFont="1" applyFill="1" applyBorder="1" applyAlignment="1">
      <alignment horizontal="right" vertical="center" wrapText="1"/>
    </xf>
    <xf numFmtId="173" fontId="45" fillId="69" borderId="0" xfId="180" applyNumberFormat="1" applyFont="1" applyFill="1" applyBorder="1" applyAlignment="1">
      <alignment horizontal="center" vertical="center" wrapText="1"/>
    </xf>
    <xf numFmtId="173" fontId="45" fillId="69" borderId="0" xfId="61" applyNumberFormat="1" applyFont="1" applyFill="1" applyBorder="1" applyAlignment="1">
      <alignment vertical="center" wrapText="1"/>
    </xf>
    <xf numFmtId="173" fontId="64" fillId="63" borderId="0" xfId="0" applyNumberFormat="1" applyFont="1" applyFill="1" applyAlignment="1">
      <alignment horizontal="center" vertical="center" wrapText="1" readingOrder="1"/>
    </xf>
    <xf numFmtId="173" fontId="45" fillId="69" borderId="0" xfId="61" applyNumberFormat="1" applyFont="1" applyFill="1" applyBorder="1" applyAlignment="1">
      <alignment horizontal="right" vertical="center" wrapText="1" readingOrder="1"/>
    </xf>
    <xf numFmtId="173" fontId="70" fillId="70" borderId="0" xfId="0" applyNumberFormat="1" applyFont="1" applyFill="1" applyAlignment="1">
      <alignment horizontal="center" vertical="center" wrapText="1" readingOrder="1"/>
    </xf>
    <xf numFmtId="173" fontId="70" fillId="68" borderId="0" xfId="0" applyNumberFormat="1" applyFont="1" applyFill="1" applyAlignment="1">
      <alignment horizontal="center" vertical="center" wrapText="1" readingOrder="1"/>
    </xf>
    <xf numFmtId="0" fontId="46" fillId="0" borderId="0" xfId="0" applyFont="1" applyFill="1"/>
    <xf numFmtId="4" fontId="46" fillId="0" borderId="0" xfId="0" applyNumberFormat="1" applyFont="1" applyFill="1"/>
    <xf numFmtId="173" fontId="46" fillId="0" borderId="0" xfId="0" applyNumberFormat="1" applyFont="1" applyFill="1"/>
    <xf numFmtId="4" fontId="52" fillId="0" borderId="0" xfId="0" applyNumberFormat="1" applyFont="1" applyFill="1"/>
    <xf numFmtId="164" fontId="52" fillId="0" borderId="0" xfId="61" applyFont="1" applyFill="1"/>
    <xf numFmtId="181" fontId="46" fillId="0" borderId="0" xfId="0" applyNumberFormat="1" applyFont="1" applyFill="1"/>
    <xf numFmtId="164" fontId="46" fillId="0" borderId="0" xfId="0" applyNumberFormat="1" applyFont="1" applyFill="1"/>
    <xf numFmtId="173" fontId="56" fillId="0" borderId="0" xfId="0" applyNumberFormat="1" applyFont="1" applyFill="1"/>
    <xf numFmtId="4" fontId="53" fillId="0" borderId="0" xfId="0" applyNumberFormat="1" applyFont="1" applyFill="1"/>
    <xf numFmtId="181" fontId="53" fillId="0" borderId="0" xfId="0" applyNumberFormat="1" applyFont="1" applyFill="1"/>
    <xf numFmtId="164" fontId="53" fillId="0" borderId="0" xfId="0" applyNumberFormat="1" applyFont="1" applyFill="1"/>
    <xf numFmtId="0" fontId="53" fillId="0" borderId="0" xfId="0" applyFont="1" applyFill="1"/>
    <xf numFmtId="41" fontId="46" fillId="0" borderId="0" xfId="0" applyNumberFormat="1" applyFont="1" applyFill="1"/>
    <xf numFmtId="0" fontId="46" fillId="0" borderId="0" xfId="0" applyFont="1" applyFill="1" applyAlignment="1">
      <alignment vertical="center"/>
    </xf>
    <xf numFmtId="0" fontId="58" fillId="0" borderId="0" xfId="0" applyFont="1" applyFill="1" applyAlignment="1">
      <alignment vertical="center"/>
    </xf>
    <xf numFmtId="0" fontId="52" fillId="0" borderId="0" xfId="0" applyFont="1" applyFill="1" applyAlignment="1">
      <alignment vertical="center" wrapText="1"/>
    </xf>
    <xf numFmtId="0" fontId="52" fillId="0" borderId="0" xfId="0" applyFont="1" applyFill="1" applyAlignment="1">
      <alignment vertical="center"/>
    </xf>
    <xf numFmtId="164" fontId="46" fillId="0" borderId="0" xfId="61" applyFont="1" applyFill="1" applyAlignment="1">
      <alignment vertical="center"/>
    </xf>
    <xf numFmtId="173" fontId="45" fillId="24" borderId="0" xfId="61" applyNumberFormat="1" applyFont="1" applyFill="1" applyBorder="1" applyAlignment="1">
      <alignment vertical="center" wrapText="1"/>
    </xf>
    <xf numFmtId="173" fontId="57" fillId="0" borderId="0" xfId="0" applyNumberFormat="1" applyFont="1"/>
    <xf numFmtId="173" fontId="46" fillId="0" borderId="0" xfId="0" applyNumberFormat="1" applyFont="1" applyAlignment="1">
      <alignment horizontal="left" vertical="center"/>
    </xf>
    <xf numFmtId="173" fontId="45" fillId="64" borderId="0" xfId="61" applyNumberFormat="1" applyFont="1" applyFill="1" applyBorder="1" applyAlignment="1">
      <alignment vertical="center" wrapText="1" readingOrder="1"/>
    </xf>
    <xf numFmtId="173" fontId="46" fillId="0" borderId="0" xfId="89" applyNumberFormat="1" applyFont="1" applyAlignment="1">
      <alignment horizontal="right" readingOrder="1"/>
    </xf>
    <xf numFmtId="173" fontId="48" fillId="70" borderId="0" xfId="180" applyNumberFormat="1" applyFont="1" applyFill="1" applyBorder="1" applyAlignment="1">
      <alignment horizontal="center" vertical="center" wrapText="1"/>
    </xf>
    <xf numFmtId="0" fontId="52" fillId="64" borderId="0" xfId="0" applyFont="1" applyFill="1" applyAlignment="1">
      <alignment horizontal="left" vertical="center"/>
    </xf>
    <xf numFmtId="173" fontId="52" fillId="64" borderId="0" xfId="0" applyNumberFormat="1" applyFont="1" applyFill="1" applyAlignment="1">
      <alignment horizontal="left" vertical="center"/>
    </xf>
    <xf numFmtId="173" fontId="46" fillId="64" borderId="0" xfId="61" applyNumberFormat="1" applyFont="1" applyFill="1" applyAlignment="1">
      <alignment vertical="center"/>
    </xf>
    <xf numFmtId="173" fontId="46" fillId="64" borderId="0" xfId="0" applyNumberFormat="1" applyFont="1" applyFill="1" applyAlignment="1">
      <alignment vertical="center"/>
    </xf>
    <xf numFmtId="173" fontId="46" fillId="64" borderId="0" xfId="89" applyNumberFormat="1" applyFont="1" applyFill="1" applyAlignment="1">
      <alignment horizontal="center" vertical="center"/>
    </xf>
    <xf numFmtId="173" fontId="46" fillId="64" borderId="0" xfId="0" applyNumberFormat="1" applyFont="1" applyFill="1" applyAlignment="1">
      <alignment horizontal="center" vertical="center"/>
    </xf>
    <xf numFmtId="173" fontId="69" fillId="64" borderId="0" xfId="61" applyNumberFormat="1" applyFont="1" applyFill="1" applyAlignment="1">
      <alignment horizontal="right" vertical="center"/>
    </xf>
    <xf numFmtId="173" fontId="60" fillId="64" borderId="0" xfId="61" applyNumberFormat="1" applyFont="1" applyFill="1" applyAlignment="1">
      <alignment vertical="center"/>
    </xf>
    <xf numFmtId="173" fontId="60" fillId="64" borderId="0" xfId="0" applyNumberFormat="1" applyFont="1" applyFill="1" applyAlignment="1">
      <alignment vertical="center"/>
    </xf>
    <xf numFmtId="173" fontId="60" fillId="64" borderId="0" xfId="89" applyNumberFormat="1" applyFont="1" applyFill="1" applyAlignment="1">
      <alignment horizontal="center" vertical="center"/>
    </xf>
    <xf numFmtId="173" fontId="60" fillId="64" borderId="0" xfId="0" applyNumberFormat="1" applyFont="1" applyFill="1" applyAlignment="1">
      <alignment horizontal="center" vertical="center"/>
    </xf>
    <xf numFmtId="173" fontId="69" fillId="64" borderId="0" xfId="61" applyNumberFormat="1" applyFont="1" applyFill="1" applyAlignment="1">
      <alignment vertical="center"/>
    </xf>
    <xf numFmtId="173" fontId="52" fillId="64" borderId="0" xfId="61" applyNumberFormat="1" applyFont="1" applyFill="1" applyAlignment="1">
      <alignment horizontal="center" vertical="center" wrapText="1"/>
    </xf>
    <xf numFmtId="173" fontId="52" fillId="64" borderId="0" xfId="89" applyNumberFormat="1" applyFont="1" applyFill="1" applyAlignment="1">
      <alignment horizontal="center" vertical="center"/>
    </xf>
    <xf numFmtId="173" fontId="52" fillId="64" borderId="0" xfId="89" applyNumberFormat="1" applyFont="1" applyFill="1" applyAlignment="1">
      <alignment horizontal="center" vertical="center" wrapText="1"/>
    </xf>
    <xf numFmtId="173" fontId="52" fillId="64" borderId="0" xfId="0" applyNumberFormat="1" applyFont="1" applyFill="1" applyAlignment="1">
      <alignment vertical="center" wrapText="1"/>
    </xf>
    <xf numFmtId="43" fontId="72" fillId="71" borderId="0" xfId="0" applyNumberFormat="1" applyFont="1" applyFill="1" applyAlignment="1">
      <alignment horizontal="center" vertical="center" wrapText="1"/>
    </xf>
    <xf numFmtId="43" fontId="72" fillId="71" borderId="0" xfId="0" applyNumberFormat="1" applyFont="1" applyFill="1" applyAlignment="1">
      <alignment horizontal="center" wrapText="1"/>
    </xf>
    <xf numFmtId="0" fontId="46" fillId="0" borderId="0" xfId="0" applyFont="1" applyAlignment="1">
      <alignment horizontal="left"/>
    </xf>
    <xf numFmtId="0" fontId="60" fillId="0" borderId="0" xfId="0" applyFont="1" applyAlignment="1">
      <alignment horizontal="left"/>
    </xf>
    <xf numFmtId="164" fontId="46" fillId="0" borderId="0" xfId="0" applyNumberFormat="1" applyFont="1" applyAlignment="1">
      <alignment horizontal="left"/>
    </xf>
    <xf numFmtId="0" fontId="58" fillId="71" borderId="0" xfId="0" applyFont="1" applyFill="1"/>
    <xf numFmtId="173" fontId="72" fillId="71" borderId="0" xfId="0" applyNumberFormat="1" applyFont="1" applyFill="1"/>
    <xf numFmtId="173" fontId="72" fillId="72" borderId="0" xfId="0" applyNumberFormat="1" applyFont="1" applyFill="1"/>
    <xf numFmtId="43" fontId="72" fillId="72" borderId="0" xfId="0" applyNumberFormat="1" applyFont="1" applyFill="1" applyAlignment="1">
      <alignment horizontal="center" vertical="center" wrapText="1"/>
    </xf>
  </cellXfs>
  <cellStyles count="801">
    <cellStyle name="20% - Accent1" xfId="1" xr:uid="{00000000-0005-0000-0000-000000000000}"/>
    <cellStyle name="20% - Accent1 2" xfId="2" xr:uid="{00000000-0005-0000-0000-000001000000}"/>
    <cellStyle name="20% - Accent1 3" xfId="3" xr:uid="{00000000-0005-0000-0000-000002000000}"/>
    <cellStyle name="20% - Accent2" xfId="4" xr:uid="{00000000-0005-0000-0000-000003000000}"/>
    <cellStyle name="20% - Accent2 2" xfId="5" xr:uid="{00000000-0005-0000-0000-000004000000}"/>
    <cellStyle name="20% - Accent2 3" xfId="6" xr:uid="{00000000-0005-0000-0000-000005000000}"/>
    <cellStyle name="20% - Accent3" xfId="7" xr:uid="{00000000-0005-0000-0000-000006000000}"/>
    <cellStyle name="20% - Accent3 2" xfId="8" xr:uid="{00000000-0005-0000-0000-000007000000}"/>
    <cellStyle name="20% - Accent3 3" xfId="9" xr:uid="{00000000-0005-0000-0000-000008000000}"/>
    <cellStyle name="20% - Accent4" xfId="10" xr:uid="{00000000-0005-0000-0000-000009000000}"/>
    <cellStyle name="20% - Accent4 2" xfId="11" xr:uid="{00000000-0005-0000-0000-00000A000000}"/>
    <cellStyle name="20% - Accent4 3" xfId="12" xr:uid="{00000000-0005-0000-0000-00000B000000}"/>
    <cellStyle name="20% - Accent5" xfId="13" xr:uid="{00000000-0005-0000-0000-00000C000000}"/>
    <cellStyle name="20% - Accent5 2" xfId="14" xr:uid="{00000000-0005-0000-0000-00000D000000}"/>
    <cellStyle name="20% - Accent5 3" xfId="15" xr:uid="{00000000-0005-0000-0000-00000E000000}"/>
    <cellStyle name="20% - Accent6" xfId="16" xr:uid="{00000000-0005-0000-0000-00000F000000}"/>
    <cellStyle name="20% - Accent6 2" xfId="17" xr:uid="{00000000-0005-0000-0000-000010000000}"/>
    <cellStyle name="20% - Accent6 3" xfId="18" xr:uid="{00000000-0005-0000-0000-000011000000}"/>
    <cellStyle name="20% - Énfasis1" xfId="215" builtinId="30" customBuiltin="1"/>
    <cellStyle name="20% - Énfasis2" xfId="218" builtinId="34" customBuiltin="1"/>
    <cellStyle name="20% - Énfasis3" xfId="221" builtinId="38" customBuiltin="1"/>
    <cellStyle name="20% - Énfasis4" xfId="224" builtinId="42" customBuiltin="1"/>
    <cellStyle name="20% - Énfasis5" xfId="227" builtinId="46" customBuiltin="1"/>
    <cellStyle name="20% - Énfasis6" xfId="230" builtinId="50" customBuiltin="1"/>
    <cellStyle name="40% - Accent1" xfId="19" xr:uid="{00000000-0005-0000-0000-000012000000}"/>
    <cellStyle name="40% - Accent1 2" xfId="20" xr:uid="{00000000-0005-0000-0000-000013000000}"/>
    <cellStyle name="40% - Accent1 3" xfId="21" xr:uid="{00000000-0005-0000-0000-000014000000}"/>
    <cellStyle name="40% - Accent2" xfId="22" xr:uid="{00000000-0005-0000-0000-000015000000}"/>
    <cellStyle name="40% - Accent2 2" xfId="23" xr:uid="{00000000-0005-0000-0000-000016000000}"/>
    <cellStyle name="40% - Accent2 3" xfId="24" xr:uid="{00000000-0005-0000-0000-000017000000}"/>
    <cellStyle name="40% - Accent3" xfId="25" xr:uid="{00000000-0005-0000-0000-000018000000}"/>
    <cellStyle name="40% - Accent3 2" xfId="26" xr:uid="{00000000-0005-0000-0000-000019000000}"/>
    <cellStyle name="40% - Accent3 3" xfId="27" xr:uid="{00000000-0005-0000-0000-00001A000000}"/>
    <cellStyle name="40% - Accent4" xfId="28" xr:uid="{00000000-0005-0000-0000-00001B000000}"/>
    <cellStyle name="40% - Accent4 2" xfId="29" xr:uid="{00000000-0005-0000-0000-00001C000000}"/>
    <cellStyle name="40% - Accent4 3" xfId="30" xr:uid="{00000000-0005-0000-0000-00001D000000}"/>
    <cellStyle name="40% - Accent5" xfId="31" xr:uid="{00000000-0005-0000-0000-00001E000000}"/>
    <cellStyle name="40% - Accent5 2" xfId="32" xr:uid="{00000000-0005-0000-0000-00001F000000}"/>
    <cellStyle name="40% - Accent5 3" xfId="33" xr:uid="{00000000-0005-0000-0000-000020000000}"/>
    <cellStyle name="40% - Accent6" xfId="34" xr:uid="{00000000-0005-0000-0000-000021000000}"/>
    <cellStyle name="40% - Accent6 2" xfId="35" xr:uid="{00000000-0005-0000-0000-000022000000}"/>
    <cellStyle name="40% - Accent6 3" xfId="36" xr:uid="{00000000-0005-0000-0000-000023000000}"/>
    <cellStyle name="40% - Énfasis1" xfId="216" builtinId="31" customBuiltin="1"/>
    <cellStyle name="40% - Énfasis2" xfId="219" builtinId="35" customBuiltin="1"/>
    <cellStyle name="40% - Énfasis3" xfId="222" builtinId="39" customBuiltin="1"/>
    <cellStyle name="40% - Énfasis4" xfId="225" builtinId="43" customBuiltin="1"/>
    <cellStyle name="40% - Énfasis5" xfId="228" builtinId="47" customBuiltin="1"/>
    <cellStyle name="40% - Énfasis6" xfId="231" builtinId="51" customBuiltin="1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524" builtinId="32" customBuiltin="1"/>
    <cellStyle name="60% - Énfasis1 2" xfId="246" xr:uid="{40E3DF6E-58E1-4186-874E-7920D823AF7B}"/>
    <cellStyle name="60% - Énfasis1 2 2" xfId="776" xr:uid="{20FBC46C-F0D2-48A6-B3C1-0D429BB3DC4B}"/>
    <cellStyle name="60% - Énfasis1 3" xfId="235" xr:uid="{43F88826-B74B-438D-8880-9ABF9AD22BE3}"/>
    <cellStyle name="60% - Énfasis2" xfId="525" builtinId="36" customBuiltin="1"/>
    <cellStyle name="60% - Énfasis2 2" xfId="247" xr:uid="{C5C8F838-499A-47BC-892A-391808AE8D74}"/>
    <cellStyle name="60% - Énfasis2 2 2" xfId="780" xr:uid="{0A400A8C-F4F9-4EC8-B011-C2E62E23C81A}"/>
    <cellStyle name="60% - Énfasis2 3" xfId="236" xr:uid="{329CD709-32F1-4698-9676-5ABB6795D519}"/>
    <cellStyle name="60% - Énfasis3" xfId="526" builtinId="40" customBuiltin="1"/>
    <cellStyle name="60% - Énfasis3 2" xfId="248" xr:uid="{80FD17B9-E285-4567-83BB-E46500EF4ADA}"/>
    <cellStyle name="60% - Énfasis3 2 2" xfId="762" xr:uid="{4E5D674E-CF31-4C51-A586-22CC6D9B4339}"/>
    <cellStyle name="60% - Énfasis3 3" xfId="237" xr:uid="{E24B7369-6FBA-4732-A10C-9DE3B22F5F1E}"/>
    <cellStyle name="60% - Énfasis4" xfId="527" builtinId="44" customBuiltin="1"/>
    <cellStyle name="60% - Énfasis4 2" xfId="249" xr:uid="{7850C323-B4DD-44A2-AD74-CAD77A7E5A71}"/>
    <cellStyle name="60% - Énfasis4 2 2" xfId="759" xr:uid="{367470E2-95BA-453B-8F61-985C5A2E5046}"/>
    <cellStyle name="60% - Énfasis4 3" xfId="238" xr:uid="{82BE880E-C4A0-4378-887F-EA3BB53444C4}"/>
    <cellStyle name="60% - Énfasis5" xfId="528" builtinId="48" customBuiltin="1"/>
    <cellStyle name="60% - Énfasis5 2" xfId="250" xr:uid="{4C46E3B7-3C4A-4F59-81A5-61A15A22F411}"/>
    <cellStyle name="60% - Énfasis5 2 2" xfId="763" xr:uid="{71A90D4A-922F-4D02-90E6-3D0A5B115017}"/>
    <cellStyle name="60% - Énfasis5 3" xfId="239" xr:uid="{C95A80DA-5E29-4302-B414-06884A97A152}"/>
    <cellStyle name="60% - Énfasis6" xfId="529" builtinId="52" customBuiltin="1"/>
    <cellStyle name="60% - Énfasis6 2" xfId="251" xr:uid="{E3E7859C-8C79-43E8-ADA0-184F8392BC7D}"/>
    <cellStyle name="60% - Énfasis6 2 2" xfId="769" xr:uid="{AB779ACA-D866-4E7B-84AA-9D71DF0C195E}"/>
    <cellStyle name="60% - Énfasis6 3" xfId="240" xr:uid="{F4B26CE5-CC8D-41C7-A383-8E79C6D2A900}"/>
    <cellStyle name="Accent1" xfId="43" xr:uid="{00000000-0005-0000-0000-00002A000000}"/>
    <cellStyle name="Accent2" xfId="44" xr:uid="{00000000-0005-0000-0000-00002B000000}"/>
    <cellStyle name="Accent3" xfId="45" xr:uid="{00000000-0005-0000-0000-00002C000000}"/>
    <cellStyle name="Accent4" xfId="46" xr:uid="{00000000-0005-0000-0000-00002D000000}"/>
    <cellStyle name="Accent5" xfId="47" xr:uid="{00000000-0005-0000-0000-00002E000000}"/>
    <cellStyle name="Accent6" xfId="48" xr:uid="{00000000-0005-0000-0000-00002F000000}"/>
    <cellStyle name="Bad" xfId="49" xr:uid="{00000000-0005-0000-0000-000030000000}"/>
    <cellStyle name="Bueno" xfId="203" builtinId="26" customBuiltin="1"/>
    <cellStyle name="Calculation" xfId="50" xr:uid="{00000000-0005-0000-0000-000031000000}"/>
    <cellStyle name="Cálculo" xfId="207" builtinId="22" customBuiltin="1"/>
    <cellStyle name="Celda de comprobación" xfId="209" builtinId="23" customBuiltin="1"/>
    <cellStyle name="Celda vinculada" xfId="208" builtinId="24" customBuiltin="1"/>
    <cellStyle name="Check Cell" xfId="51" xr:uid="{00000000-0005-0000-0000-000032000000}"/>
    <cellStyle name="Encabezado 1" xfId="199" builtinId="16" customBuiltin="1"/>
    <cellStyle name="Encabezado 4" xfId="202" builtinId="19" customBuiltin="1"/>
    <cellStyle name="Énfasis1" xfId="214" builtinId="29" customBuiltin="1"/>
    <cellStyle name="Énfasis2" xfId="217" builtinId="33" customBuiltin="1"/>
    <cellStyle name="Énfasis3" xfId="220" builtinId="37" customBuiltin="1"/>
    <cellStyle name="Énfasis4" xfId="223" builtinId="41" customBuiltin="1"/>
    <cellStyle name="Énfasis5" xfId="226" builtinId="45" customBuiltin="1"/>
    <cellStyle name="Énfasis6" xfId="229" builtinId="49" customBuiltin="1"/>
    <cellStyle name="Entrada" xfId="205" builtinId="20" customBuiltin="1"/>
    <cellStyle name="Euro" xfId="52" xr:uid="{00000000-0005-0000-0000-000033000000}"/>
    <cellStyle name="Euro 10" xfId="122" xr:uid="{00000000-0005-0000-0000-000034000000}"/>
    <cellStyle name="Euro 11" xfId="123" xr:uid="{00000000-0005-0000-0000-000035000000}"/>
    <cellStyle name="Euro 12" xfId="124" xr:uid="{00000000-0005-0000-0000-000036000000}"/>
    <cellStyle name="Euro 2" xfId="125" xr:uid="{00000000-0005-0000-0000-000037000000}"/>
    <cellStyle name="Euro 3" xfId="126" xr:uid="{00000000-0005-0000-0000-000038000000}"/>
    <cellStyle name="Euro 4" xfId="127" xr:uid="{00000000-0005-0000-0000-000039000000}"/>
    <cellStyle name="Euro 5" xfId="128" xr:uid="{00000000-0005-0000-0000-00003A000000}"/>
    <cellStyle name="Euro 6" xfId="129" xr:uid="{00000000-0005-0000-0000-00003B000000}"/>
    <cellStyle name="Euro 7" xfId="130" xr:uid="{00000000-0005-0000-0000-00003C000000}"/>
    <cellStyle name="Euro 8" xfId="131" xr:uid="{00000000-0005-0000-0000-00003D000000}"/>
    <cellStyle name="Euro 9" xfId="132" xr:uid="{00000000-0005-0000-0000-00003E000000}"/>
    <cellStyle name="Explanatory Text" xfId="53" xr:uid="{00000000-0005-0000-0000-00003F000000}"/>
    <cellStyle name="Good" xfId="54" xr:uid="{00000000-0005-0000-0000-000040000000}"/>
    <cellStyle name="Heading 1" xfId="55" xr:uid="{00000000-0005-0000-0000-000041000000}"/>
    <cellStyle name="Heading 2" xfId="56" xr:uid="{00000000-0005-0000-0000-000042000000}"/>
    <cellStyle name="Heading 3" xfId="57" xr:uid="{00000000-0005-0000-0000-000043000000}"/>
    <cellStyle name="Heading 4" xfId="58" xr:uid="{00000000-0005-0000-0000-000044000000}"/>
    <cellStyle name="Hipervínculo 2" xfId="133" xr:uid="{00000000-0005-0000-0000-000045000000}"/>
    <cellStyle name="Incorrecto" xfId="204" builtinId="27" customBuiltin="1"/>
    <cellStyle name="Input" xfId="59" xr:uid="{00000000-0005-0000-0000-000046000000}"/>
    <cellStyle name="Linked Cell" xfId="60" xr:uid="{00000000-0005-0000-0000-000047000000}"/>
    <cellStyle name="Millares" xfId="61" builtinId="3"/>
    <cellStyle name="Millares [0]" xfId="180" builtinId="6"/>
    <cellStyle name="Millares [0] 10" xfId="576" xr:uid="{14AB3749-0AE6-400F-A019-EA3AEDC106AA}"/>
    <cellStyle name="Millares [0] 11" xfId="755" xr:uid="{A4DBC0BB-2327-47DB-B538-B5E457E8CFD2}"/>
    <cellStyle name="Millares [0] 12" xfId="785" xr:uid="{840953D0-8DB4-4263-9A28-F2C22C4709F8}"/>
    <cellStyle name="Millares [0] 2" xfId="182" xr:uid="{00000000-0005-0000-0000-00004A000000}"/>
    <cellStyle name="Millares [0] 2 2" xfId="190" xr:uid="{00000000-0005-0000-0000-00004B000000}"/>
    <cellStyle name="Millares [0] 2 2 2" xfId="466" xr:uid="{99D32E4B-0A18-4F00-B0EC-47C448655E10}"/>
    <cellStyle name="Millares [0] 2 2 2 2" xfId="674" xr:uid="{3A29C14B-1486-422C-83BF-917C4CDB4216}"/>
    <cellStyle name="Millares [0] 2 2 3" xfId="585" xr:uid="{A25B9FE3-2526-4085-B08F-C0CE6C27D81F}"/>
    <cellStyle name="Millares [0] 2 3" xfId="243" xr:uid="{ADE855EF-9104-442F-95F0-EBD0BE9B0D2E}"/>
    <cellStyle name="Millares [0] 2 3 2" xfId="471" xr:uid="{114218AF-6B2E-4ABD-AC2D-42FE45FFB593}"/>
    <cellStyle name="Millares [0] 2 3 2 2" xfId="679" xr:uid="{958FE696-D910-41AD-9665-09B575209DA5}"/>
    <cellStyle name="Millares [0] 2 3 3" xfId="592" xr:uid="{ACE03BD1-16CD-4380-8DCF-EC652984D636}"/>
    <cellStyle name="Millares [0] 2 4" xfId="459" xr:uid="{3AA8B7A1-44B2-4633-B2CB-2C4657B5A78B}"/>
    <cellStyle name="Millares [0] 2 4 2" xfId="667" xr:uid="{872F7261-D9B0-4718-860F-00AE10ED2419}"/>
    <cellStyle name="Millares [0] 2 5" xfId="577" xr:uid="{F63A0419-0FAE-4FE5-953E-43A3F76EC60E}"/>
    <cellStyle name="Millares [0] 2 6" xfId="756" xr:uid="{857872E5-4FCE-40E2-9473-0CD22F382E47}"/>
    <cellStyle name="Millares [0] 3" xfId="187" xr:uid="{00000000-0005-0000-0000-00004C000000}"/>
    <cellStyle name="Millares [0] 3 2" xfId="252" xr:uid="{C7AF9D99-2117-4AEF-BFFA-214F9051D8C7}"/>
    <cellStyle name="Millares [0] 3 2 2" xfId="472" xr:uid="{CAD0B14A-A58C-4DE1-B32D-BAB095ABC22D}"/>
    <cellStyle name="Millares [0] 3 2 2 2" xfId="680" xr:uid="{ED9E45B6-A66C-4370-A2AE-530DEE5F25FC}"/>
    <cellStyle name="Millares [0] 3 2 3" xfId="594" xr:uid="{632AF5A5-23CD-4AC1-ADFA-81397063D9F4}"/>
    <cellStyle name="Millares [0] 3 3" xfId="463" xr:uid="{3549B740-3A7A-496E-9E05-F3DE5FF3615E}"/>
    <cellStyle name="Millares [0] 3 3 2" xfId="671" xr:uid="{1FC048AE-C516-4D2A-A4E0-3FD5FD58B0CE}"/>
    <cellStyle name="Millares [0] 3 4" xfId="582" xr:uid="{B199381F-0ACA-4340-97F3-1E923204778A}"/>
    <cellStyle name="Millares [0] 4" xfId="254" xr:uid="{7A3F2118-AC4A-457C-B980-7C03B5FA09F6}"/>
    <cellStyle name="Millares [0] 4 2" xfId="473" xr:uid="{3AF73AA5-F746-483E-8E36-3B3922046FBE}"/>
    <cellStyle name="Millares [0] 4 2 2" xfId="681" xr:uid="{C8B96160-EE69-4CB5-86F0-5B3891FD57A2}"/>
    <cellStyle name="Millares [0] 4 3" xfId="595" xr:uid="{8BCFE558-98A9-4AD4-BFDE-C87C0D4F84D9}"/>
    <cellStyle name="Millares [0] 5" xfId="242" xr:uid="{1C5A17B2-BA42-4C2A-9B8B-3EF90BB43F1C}"/>
    <cellStyle name="Millares [0] 5 2" xfId="470" xr:uid="{44355AC3-ACC5-444F-93E0-FF6DD83E33E3}"/>
    <cellStyle name="Millares [0] 5 2 2" xfId="678" xr:uid="{2F7251B1-93E1-4BAE-991A-0C211D32CE3A}"/>
    <cellStyle name="Millares [0] 5 3" xfId="591" xr:uid="{AA71BF9A-5EF1-4300-B509-07ED6547FA7A}"/>
    <cellStyle name="Millares [0] 6" xfId="417" xr:uid="{5F0B3F6A-C24B-49C8-B18D-69B2CFA2CDC3}"/>
    <cellStyle name="Millares [0] 6 2" xfId="500" xr:uid="{915A4604-D04E-4DF0-975F-5FA9BD3448EA}"/>
    <cellStyle name="Millares [0] 6 2 2" xfId="708" xr:uid="{F303B4EA-0448-4B78-B78B-FC5D38B4A0DC}"/>
    <cellStyle name="Millares [0] 6 3" xfId="626" xr:uid="{2E3A1890-22C6-4A55-B8DE-CC9981D7349C}"/>
    <cellStyle name="Millares [0] 7" xfId="431" xr:uid="{81199199-F6B4-4A88-BDB1-7C56C50540DA}"/>
    <cellStyle name="Millares [0] 7 2" xfId="514" xr:uid="{F1A188BA-0BCC-4A15-BC05-39C1D3537D30}"/>
    <cellStyle name="Millares [0] 7 2 2" xfId="722" xr:uid="{A871B082-DA98-4F88-B68F-DE0B03EB1B96}"/>
    <cellStyle name="Millares [0] 7 3" xfId="640" xr:uid="{D1517050-D9AD-4321-8E54-C67EA8439159}"/>
    <cellStyle name="Millares [0] 8" xfId="458" xr:uid="{044F92B0-98AE-46FE-9397-A844790BDD19}"/>
    <cellStyle name="Millares [0] 8 2" xfId="666" xr:uid="{9ECDABDA-E792-4EDC-980A-215581FE6DCF}"/>
    <cellStyle name="Millares [0] 9" xfId="440" xr:uid="{ACD55A92-3D69-4DB6-BB2D-DD60B7577AFC}"/>
    <cellStyle name="Millares [0] 9 2" xfId="648" xr:uid="{0F810726-D3D3-407B-8003-21B045AC1031}"/>
    <cellStyle name="Millares 10" xfId="134" xr:uid="{00000000-0005-0000-0000-00004D000000}"/>
    <cellStyle name="Millares 10 2 2" xfId="434" xr:uid="{1C989B5C-C79D-42B1-AEB4-4D9BE5D77A37}"/>
    <cellStyle name="Millares 100" xfId="777" xr:uid="{FB4DF62C-E4C6-4349-91A8-DEDAF6C6AD8A}"/>
    <cellStyle name="Millares 100 2" xfId="799" xr:uid="{72D6C545-93E8-433C-BC80-48DCE5A8F75F}"/>
    <cellStyle name="Millares 101" xfId="760" xr:uid="{D83D4B6F-695D-4F84-89DE-6DD81ABF3E26}"/>
    <cellStyle name="Millares 102" xfId="750" xr:uid="{58AA8E3B-6BF5-4D66-A956-21C46785D089}"/>
    <cellStyle name="Millares 103" xfId="787" xr:uid="{081A360E-D2C2-4EFF-8F24-40C8A819AEB9}"/>
    <cellStyle name="Millares 104" xfId="789" xr:uid="{611DA093-3DF1-4681-A787-87112CA5D3EA}"/>
    <cellStyle name="Millares 105" xfId="792" xr:uid="{013CFB09-D925-448F-8FB9-547D6702C7A3}"/>
    <cellStyle name="Millares 11" xfId="184" xr:uid="{00000000-0005-0000-0000-00004E000000}"/>
    <cellStyle name="Millares 11 2" xfId="461" xr:uid="{996F10CB-AE7A-4787-84ED-713913BF56E0}"/>
    <cellStyle name="Millares 11 2 2" xfId="669" xr:uid="{B1C74C58-057D-4BF8-A0AB-4EA0D6DF31F3}"/>
    <cellStyle name="Millares 11 3" xfId="579" xr:uid="{AAD315B6-FA6C-4793-9E44-AEDEA103CE26}"/>
    <cellStyle name="Millares 12" xfId="188" xr:uid="{00000000-0005-0000-0000-00004F000000}"/>
    <cellStyle name="Millares 12 2" xfId="464" xr:uid="{DEB4A471-B785-4A34-B569-BF7A450FE3B8}"/>
    <cellStyle name="Millares 12 2 2" xfId="672" xr:uid="{EDCBC389-EFE5-462C-A6BF-C06BCA7059CA}"/>
    <cellStyle name="Millares 12 3" xfId="583" xr:uid="{A12667C3-1704-43F1-A7D8-424CC7BDCA04}"/>
    <cellStyle name="Millares 13" xfId="232" xr:uid="{A1F29021-05BC-48A8-8B15-A8070B2B0929}"/>
    <cellStyle name="Millares 14" xfId="418" xr:uid="{DAB378B7-A22A-4504-9B1C-2F3345C712CF}"/>
    <cellStyle name="Millares 14 2" xfId="501" xr:uid="{F481E6B6-5E2B-42F2-BF8F-C48A28763B4C}"/>
    <cellStyle name="Millares 14 2 2" xfId="709" xr:uid="{0543B214-C0BC-40AA-988B-2A024BD95D7F}"/>
    <cellStyle name="Millares 14 3" xfId="627" xr:uid="{3DD0F2E8-40ED-4B64-82F6-D057D556B896}"/>
    <cellStyle name="Millares 15" xfId="425" xr:uid="{6213D889-F7B8-42B7-9D85-084B7FC894F8}"/>
    <cellStyle name="Millares 15 2" xfId="508" xr:uid="{C858B289-B22E-4094-BD26-B44A5AD433A1}"/>
    <cellStyle name="Millares 15 2 2" xfId="716" xr:uid="{277A0E5E-E58E-46B0-A9E9-9AA1C4E0DC79}"/>
    <cellStyle name="Millares 15 3" xfId="634" xr:uid="{307CAEF3-105E-4297-ACD5-EDBEDBF494A9}"/>
    <cellStyle name="Millares 16" xfId="426" xr:uid="{C56269B5-4650-43D3-B697-F6B4C3A05F8B}"/>
    <cellStyle name="Millares 16 2" xfId="509" xr:uid="{A6449FBA-D3CC-4486-BF25-91E9805CCE7F}"/>
    <cellStyle name="Millares 16 2 2" xfId="717" xr:uid="{C4DE6027-4CBA-4DA9-9C16-07C80848AF92}"/>
    <cellStyle name="Millares 16 3" xfId="635" xr:uid="{E31A97E2-185B-488D-8220-BF7D0EFADEF9}"/>
    <cellStyle name="Millares 17" xfId="265" xr:uid="{D7B35C86-30A0-4711-B698-15162C9F69B0}"/>
    <cellStyle name="Millares 17 2" xfId="484" xr:uid="{45193214-7FE4-4AB7-A6E4-BB2FBDEE2454}"/>
    <cellStyle name="Millares 17 2 2" xfId="692" xr:uid="{A707249E-266F-4FB6-A420-0C83A20530E6}"/>
    <cellStyle name="Millares 17 3" xfId="606" xr:uid="{9E719DA4-C825-4E8A-BBFD-80B773CE526F}"/>
    <cellStyle name="Millares 18" xfId="423" xr:uid="{86D73E4D-CF58-4E70-A801-69075D1774B3}"/>
    <cellStyle name="Millares 18 2" xfId="506" xr:uid="{16768CE0-F2D8-4048-B407-AE022C042DDA}"/>
    <cellStyle name="Millares 18 2 2" xfId="714" xr:uid="{987B58A3-A2C8-476A-8650-7E8EDAB05CAB}"/>
    <cellStyle name="Millares 18 3" xfId="632" xr:uid="{310FCB18-1BCE-439A-94C7-D0616124409E}"/>
    <cellStyle name="Millares 19" xfId="262" xr:uid="{9E005BA9-4858-4D40-989E-43F62AF6F614}"/>
    <cellStyle name="Millares 19 2" xfId="481" xr:uid="{EF940210-EE9A-4078-AB4B-9FAB8A50B9F5}"/>
    <cellStyle name="Millares 19 2 2" xfId="689" xr:uid="{0C5237DD-1C0D-4194-BC04-E26D14A344B6}"/>
    <cellStyle name="Millares 19 3" xfId="603" xr:uid="{C82757EF-5A7C-47CF-B0E7-B1F26A69CA3D}"/>
    <cellStyle name="Millares 2" xfId="62" xr:uid="{00000000-0005-0000-0000-000050000000}"/>
    <cellStyle name="Millares 2 2" xfId="63" xr:uid="{00000000-0005-0000-0000-000051000000}"/>
    <cellStyle name="Millares 2 2 2" xfId="64" xr:uid="{00000000-0005-0000-0000-000052000000}"/>
    <cellStyle name="Millares 2 2 3" xfId="65" xr:uid="{00000000-0005-0000-0000-000053000000}"/>
    <cellStyle name="Millares 2 2 4" xfId="100" xr:uid="{00000000-0005-0000-0000-000054000000}"/>
    <cellStyle name="Millares 2 2 4 2" xfId="274" xr:uid="{64F293DF-6B28-42B4-8242-03F5EB1BBD29}"/>
    <cellStyle name="Millares 2 2 4 2 2" xfId="493" xr:uid="{FB0D49C7-AC91-42AE-9F8D-351E56B6AF8E}"/>
    <cellStyle name="Millares 2 2 4 2 2 2" xfId="701" xr:uid="{4435230F-3955-45AE-8D53-C53472D2EDCD}"/>
    <cellStyle name="Millares 2 2 4 2 3" xfId="615" xr:uid="{A603FEDA-5589-4E4C-8299-E5D8AB8801F8}"/>
    <cellStyle name="Millares 2 2 4 3" xfId="449" xr:uid="{A2B75689-713E-4953-8B3E-18C7FE929DD1}"/>
    <cellStyle name="Millares 2 2 4 3 2" xfId="657" xr:uid="{E41162BB-FE82-49AA-8B78-9DA4041EE381}"/>
    <cellStyle name="Millares 2 2 4 4" xfId="566" xr:uid="{2078D68C-E197-475A-A0D0-CF9A7B15831D}"/>
    <cellStyle name="Millares 2 2 5" xfId="135" xr:uid="{00000000-0005-0000-0000-000055000000}"/>
    <cellStyle name="Millares 2 2 6" xfId="241" xr:uid="{AEFC9E61-58A3-41DE-874C-3C4FB8E73A4E}"/>
    <cellStyle name="Millares 2 2 7" xfId="266" xr:uid="{F9A7EA08-65CC-436E-9754-78C66DDBAE19}"/>
    <cellStyle name="Millares 2 2 7 2" xfId="485" xr:uid="{751C8B86-A726-4573-8531-F25761B8A8D5}"/>
    <cellStyle name="Millares 2 2 7 2 2" xfId="693" xr:uid="{FEBAAF12-F5F1-44F5-A4C7-EAE4FF24546E}"/>
    <cellStyle name="Millares 2 2 7 3" xfId="607" xr:uid="{6E3EDBF5-F329-4CE8-9DD0-7BE1B08C9661}"/>
    <cellStyle name="Millares 2 2 8" xfId="442" xr:uid="{49595921-7689-478B-8FFF-67AE1DFF9204}"/>
    <cellStyle name="Millares 2 2 8 2" xfId="650" xr:uid="{E4BE119B-EF96-4443-B500-975F8233546F}"/>
    <cellStyle name="Millares 2 2 9" xfId="558" xr:uid="{ECEC9841-6838-4AA9-98F2-61FC818DC13C}"/>
    <cellStyle name="Millares 2 3" xfId="66" xr:uid="{00000000-0005-0000-0000-000056000000}"/>
    <cellStyle name="Millares 2 3 2" xfId="151" xr:uid="{00000000-0005-0000-0000-000057000000}"/>
    <cellStyle name="Millares 2 3 3" xfId="267" xr:uid="{6305DCD1-85F7-4A15-9305-D1EFCE280B4C}"/>
    <cellStyle name="Millares 2 3 3 2" xfId="486" xr:uid="{1A21FD43-8551-42DE-BE67-64677CA73F4C}"/>
    <cellStyle name="Millares 2 3 3 2 2" xfId="694" xr:uid="{C75DC99C-CC89-4320-A391-8586070AFAD6}"/>
    <cellStyle name="Millares 2 3 3 3" xfId="608" xr:uid="{0BD907C9-4CBC-472D-A054-B97B23CCFBB8}"/>
    <cellStyle name="Millares 2 3 4" xfId="443" xr:uid="{CE8886C0-2ED1-4E0E-920C-521B775B235E}"/>
    <cellStyle name="Millares 2 3 4 2" xfId="651" xr:uid="{B7B8406A-77C4-4F16-9A17-6B16941FF3ED}"/>
    <cellStyle name="Millares 2 3 5" xfId="559" xr:uid="{FD35819F-5B0C-4508-873C-D838A0C4F406}"/>
    <cellStyle name="Millares 2 4" xfId="103" xr:uid="{00000000-0005-0000-0000-000058000000}"/>
    <cellStyle name="Millares 2 4 2" xfId="136" xr:uid="{00000000-0005-0000-0000-000059000000}"/>
    <cellStyle name="Millares 2 4 3" xfId="161" xr:uid="{00000000-0005-0000-0000-00005A000000}"/>
    <cellStyle name="Millares 2 4 3 2" xfId="456" xr:uid="{398AD0EA-0C3C-4E4B-B403-9C1682F0CEED}"/>
    <cellStyle name="Millares 2 4 3 2 2" xfId="664" xr:uid="{A5E4BC27-22C7-429F-9DB6-516E73AD7A25}"/>
    <cellStyle name="Millares 2 4 3 3" xfId="574" xr:uid="{089F48AC-371E-4931-85A9-F69F846CF2C9}"/>
    <cellStyle name="Millares 2 4 4" xfId="196" xr:uid="{00000000-0005-0000-0000-00005B000000}"/>
    <cellStyle name="Millares 2 4 4 2" xfId="467" xr:uid="{02EF98BF-F3CB-4714-814A-6501664ED6D0}"/>
    <cellStyle name="Millares 2 4 4 2 2" xfId="675" xr:uid="{20DC437E-005E-40BB-8C90-1D98FF766F24}"/>
    <cellStyle name="Millares 2 4 4 3" xfId="587" xr:uid="{1377E75E-629B-4E11-8D14-82011D24F9B4}"/>
    <cellStyle name="Millares 2 4 5" xfId="450" xr:uid="{35F7AD55-EE10-49E4-BAA1-66A36F856346}"/>
    <cellStyle name="Millares 2 4 5 2" xfId="658" xr:uid="{FDD1A6C8-0453-4CEB-A4E8-144AF304294E}"/>
    <cellStyle name="Millares 2 4 6" xfId="567" xr:uid="{79F93768-41AC-4E9B-A646-77035BC3BF5C}"/>
    <cellStyle name="Millares 2 5" xfId="189" xr:uid="{00000000-0005-0000-0000-00005C000000}"/>
    <cellStyle name="Millares 2 5 2" xfId="465" xr:uid="{59B414CD-EB33-4CB4-BB6A-832B4C020E83}"/>
    <cellStyle name="Millares 2 5 2 2" xfId="673" xr:uid="{DE38C160-A9FB-441A-B5D6-45970BF93289}"/>
    <cellStyle name="Millares 2 5 3" xfId="584" xr:uid="{26F99CF1-8B71-4989-8541-398555405456}"/>
    <cellStyle name="Millares 2 6" xfId="747" xr:uid="{35F9D6A1-DFF4-4526-AA52-D149715C8FA3}"/>
    <cellStyle name="Millares 20" xfId="424" xr:uid="{2D6AD356-5C44-4274-960F-48E0A1F2DC8B}"/>
    <cellStyle name="Millares 20 2" xfId="507" xr:uid="{D838E70B-FC48-425E-88BD-7324F454B101}"/>
    <cellStyle name="Millares 20 2 2" xfId="715" xr:uid="{E9B43923-8E94-4A2F-9E70-070319A0DA2E}"/>
    <cellStyle name="Millares 20 3" xfId="633" xr:uid="{04153E7B-DDFC-41F3-A7E4-C92C589DE818}"/>
    <cellStyle name="Millares 21" xfId="263" xr:uid="{B333C099-2D65-4A38-B7FA-7C2BE1EA01F5}"/>
    <cellStyle name="Millares 21 2" xfId="482" xr:uid="{507977A5-1C59-49E7-83EE-48052B256271}"/>
    <cellStyle name="Millares 21 2 2" xfId="690" xr:uid="{CEC9839F-1B04-4B07-9BE6-8BF5E374505B}"/>
    <cellStyle name="Millares 21 3" xfId="604" xr:uid="{24BB2E5C-F021-4F02-B9CB-6D65D66075C9}"/>
    <cellStyle name="Millares 22" xfId="420" xr:uid="{DE0A6132-C731-419A-8CB8-2EB8CAA853EC}"/>
    <cellStyle name="Millares 22 2" xfId="503" xr:uid="{13122602-C3E3-4986-8045-DF3237653762}"/>
    <cellStyle name="Millares 22 2 2" xfId="711" xr:uid="{5B1D7FDB-489F-465F-A7CA-AC5B67DB1AB1}"/>
    <cellStyle name="Millares 22 3" xfId="629" xr:uid="{760469B2-385C-4248-8E63-8237273D6B86}"/>
    <cellStyle name="Millares 23" xfId="428" xr:uid="{1B68B5FD-5A04-4DF5-9379-60BF4833EFD5}"/>
    <cellStyle name="Millares 23 2" xfId="101" xr:uid="{00000000-0005-0000-0000-00005D000000}"/>
    <cellStyle name="Millares 23 3" xfId="511" xr:uid="{C239642F-64AA-450A-8562-3215404E79AB}"/>
    <cellStyle name="Millares 23 3 2" xfId="719" xr:uid="{31F59051-2DE5-464C-99C3-56392882BD59}"/>
    <cellStyle name="Millares 23 4" xfId="637" xr:uid="{A4447434-30B5-4E75-810B-FEE5D9580A4C}"/>
    <cellStyle name="Millares 24" xfId="419" xr:uid="{CB5373CB-A74A-436D-A9FF-3026A570A997}"/>
    <cellStyle name="Millares 24 2" xfId="502" xr:uid="{D7D1D00B-CC29-435A-ABE7-312276A73B41}"/>
    <cellStyle name="Millares 24 2 2" xfId="710" xr:uid="{724A3DBF-2F60-4ABE-A753-406DD018251C}"/>
    <cellStyle name="Millares 24 3" xfId="628" xr:uid="{BC259C72-7F90-404C-A6A9-0288729A30C5}"/>
    <cellStyle name="Millares 25" xfId="264" xr:uid="{7BA5FAEC-8720-4286-9274-3BFE782DE990}"/>
    <cellStyle name="Millares 25 2" xfId="483" xr:uid="{E79448D8-F719-4644-B81F-EA8E5579D100}"/>
    <cellStyle name="Millares 25 2 2" xfId="691" xr:uid="{30E5D6E4-300B-4E01-AC6E-BDDB4801001E}"/>
    <cellStyle name="Millares 25 3" xfId="605" xr:uid="{E8C054FB-D1A2-49F4-BC93-A438C31F5F5F}"/>
    <cellStyle name="Millares 26" xfId="276" xr:uid="{65FB3784-D898-41DF-92B0-40063B14678A}"/>
    <cellStyle name="Millares 26 2" xfId="495" xr:uid="{793614DC-BCCC-4138-B429-AC20653B8323}"/>
    <cellStyle name="Millares 26 2 2" xfId="703" xr:uid="{A4865709-FAE4-444E-8D08-D85C03F29A1B}"/>
    <cellStyle name="Millares 26 3" xfId="617" xr:uid="{C7F6DECB-D9C9-4536-978E-0D8444814931}"/>
    <cellStyle name="Millares 27" xfId="261" xr:uid="{5ED369EE-DFD5-4A80-A946-AE399987D8BC}"/>
    <cellStyle name="Millares 27 2" xfId="480" xr:uid="{ED94BA39-B809-42CE-80F8-FB5F2029CF75}"/>
    <cellStyle name="Millares 27 2 2" xfId="688" xr:uid="{EA555CE7-E0DE-4598-B35F-442D43CEB711}"/>
    <cellStyle name="Millares 27 3" xfId="602" xr:uid="{3F037AC5-4C95-41DA-96C2-4126BDDBA8CD}"/>
    <cellStyle name="Millares 28" xfId="421" xr:uid="{07E33906-54D2-4113-AB8B-13D180F5A118}"/>
    <cellStyle name="Millares 28 2" xfId="504" xr:uid="{DAE99817-8C78-4ECD-A0B7-CDCC6A67D298}"/>
    <cellStyle name="Millares 28 2 2" xfId="712" xr:uid="{48BBF369-FAAB-4532-924D-F5A261CA5A41}"/>
    <cellStyle name="Millares 28 3" xfId="630" xr:uid="{969DA2ED-6FD9-4ECF-BC41-68F3FD63B208}"/>
    <cellStyle name="Millares 29" xfId="427" xr:uid="{64001A85-F5CC-488C-863D-E471C1BE4C9A}"/>
    <cellStyle name="Millares 29 2" xfId="510" xr:uid="{AEAF3089-FE02-434C-85A9-214C185ADBD4}"/>
    <cellStyle name="Millares 29 2 2" xfId="718" xr:uid="{46E6F621-2E10-4EA1-9E97-86D60E40645A}"/>
    <cellStyle name="Millares 29 3" xfId="636" xr:uid="{188528EC-033E-46A7-AA40-03F15C0014EC}"/>
    <cellStyle name="Millares 3" xfId="67" xr:uid="{00000000-0005-0000-0000-00005E000000}"/>
    <cellStyle name="Millares 3 2" xfId="68" xr:uid="{00000000-0005-0000-0000-00005F000000}"/>
    <cellStyle name="Millares 3 2 2" xfId="137" xr:uid="{00000000-0005-0000-0000-000060000000}"/>
    <cellStyle name="Millares 3 2 2 2" xfId="138" xr:uid="{00000000-0005-0000-0000-000061000000}"/>
    <cellStyle name="Millares 3 2 2 2 2" xfId="275" xr:uid="{DFD64754-3EA3-4CED-BCA6-6C14799EDE04}"/>
    <cellStyle name="Millares 3 2 2 2 2 2" xfId="494" xr:uid="{3F35A83D-E613-457A-87E4-F49EBA817339}"/>
    <cellStyle name="Millares 3 2 2 2 2 2 2" xfId="702" xr:uid="{9B736EF7-418A-487F-B53B-77AF412E12B7}"/>
    <cellStyle name="Millares 3 2 2 2 2 3" xfId="616" xr:uid="{F7B02B98-49BC-4EBE-9325-E324BB2BE690}"/>
    <cellStyle name="Millares 3 2 2 2 3" xfId="452" xr:uid="{4B06A628-6E84-4448-9FD7-054185EA0F9C}"/>
    <cellStyle name="Millares 3 2 2 2 3 2" xfId="660" xr:uid="{926D5215-F94B-416F-A35D-3C70C9F4BF0A}"/>
    <cellStyle name="Millares 3 2 2 2 4" xfId="570" xr:uid="{DDAE1C74-FB7D-4BB3-9E77-10AF1AB3DFA1}"/>
    <cellStyle name="Millares 3 2 2 3" xfId="279" xr:uid="{534C5376-8EC7-4265-A591-05FF112F5250}"/>
    <cellStyle name="Millares 3 2 2 3 2" xfId="498" xr:uid="{5DA58A49-6178-44FF-BBB9-7BA001AF0AE6}"/>
    <cellStyle name="Millares 3 2 2 3 2 2" xfId="706" xr:uid="{A9940080-9EE3-4B33-8C4D-AD2D92506DE8}"/>
    <cellStyle name="Millares 3 2 2 3 3" xfId="620" xr:uid="{67355443-609A-4975-B8D9-716F1DC1711D}"/>
    <cellStyle name="Millares 3 2 2 4" xfId="451" xr:uid="{70AA42EC-1B41-4263-8DD2-A26AA48721C4}"/>
    <cellStyle name="Millares 3 2 2 4 2" xfId="659" xr:uid="{DF1C0F2E-95EF-4088-9F42-F622E05E45FC}"/>
    <cellStyle name="Millares 3 2 2 5" xfId="569" xr:uid="{A0815AD3-6553-4658-B747-28B3F0E24136}"/>
    <cellStyle name="Millares 3 2 3" xfId="139" xr:uid="{00000000-0005-0000-0000-000062000000}"/>
    <cellStyle name="Millares 3 2 3 2" xfId="278" xr:uid="{B72AD668-9413-4121-9F50-137B3ADD3F12}"/>
    <cellStyle name="Millares 3 2 3 2 2" xfId="497" xr:uid="{A0E54736-60D5-4441-8401-F6611CFBA38A}"/>
    <cellStyle name="Millares 3 2 3 2 2 2" xfId="705" xr:uid="{A2069C24-9D22-4CBE-B6C1-3C67947A937E}"/>
    <cellStyle name="Millares 3 2 3 2 3" xfId="619" xr:uid="{E5EAA619-C584-4175-B1C3-32F4B7DBEF0F}"/>
    <cellStyle name="Millares 3 2 3 3" xfId="453" xr:uid="{B8F1724A-7825-43DF-8C02-5DDFEA4BAC8C}"/>
    <cellStyle name="Millares 3 2 3 3 2" xfId="661" xr:uid="{17140C3E-6B07-4CB3-93CE-BF0B8BDBCC28}"/>
    <cellStyle name="Millares 3 2 3 4" xfId="571" xr:uid="{559790AB-DEBC-4BF4-BE29-D0B541DE85E3}"/>
    <cellStyle name="Millares 3 2 4" xfId="269" xr:uid="{8FA99D72-0572-464B-B359-03C763DAE566}"/>
    <cellStyle name="Millares 3 2 4 2" xfId="488" xr:uid="{E4997A41-8DF9-4C10-80B2-1CED53A01B1F}"/>
    <cellStyle name="Millares 3 2 4 2 2" xfId="696" xr:uid="{50FD0690-2DB0-4CFD-A495-BFF3BBD1F2EC}"/>
    <cellStyle name="Millares 3 2 4 3" xfId="610" xr:uid="{A44FF75B-F4DF-44EE-9459-201200DE4B9E}"/>
    <cellStyle name="Millares 3 2 5" xfId="445" xr:uid="{4EDE3F90-5220-45CF-BBC9-7AA2C16F0A4A}"/>
    <cellStyle name="Millares 3 2 5 2" xfId="653" xr:uid="{DFE795FB-EAA3-4633-B644-894674107B75}"/>
    <cellStyle name="Millares 3 2 6" xfId="561" xr:uid="{1C091648-665F-486D-86CE-6A5C038564DB}"/>
    <cellStyle name="Millares 3 3" xfId="69" xr:uid="{00000000-0005-0000-0000-000063000000}"/>
    <cellStyle name="Millares 3 4" xfId="107" xr:uid="{00000000-0005-0000-0000-000064000000}"/>
    <cellStyle name="Millares 3 4 2" xfId="140" xr:uid="{00000000-0005-0000-0000-000065000000}"/>
    <cellStyle name="Millares 3 4 2 2" xfId="454" xr:uid="{E6B954C0-9E6B-4213-AC24-188BF53FF587}"/>
    <cellStyle name="Millares 3 4 2 2 2" xfId="662" xr:uid="{C63D6B0F-0996-414D-B216-E6D6B2CE08A8}"/>
    <cellStyle name="Millares 3 4 2 3" xfId="572" xr:uid="{ECAD9CE3-E87A-4568-A033-F4994DD8AAE5}"/>
    <cellStyle name="Millares 3 4 3" xfId="277" xr:uid="{A589B033-FDE5-420F-8E90-6C284AFFF9DB}"/>
    <cellStyle name="Millares 3 4 3 2" xfId="496" xr:uid="{9F140BC7-AF7B-4A42-BC17-BD73928407A2}"/>
    <cellStyle name="Millares 3 4 3 2 2" xfId="704" xr:uid="{B5B814C3-7D29-4202-A470-DB8DFB938B83}"/>
    <cellStyle name="Millares 3 4 3 3" xfId="618" xr:uid="{B8EFFE6D-A0AC-4DEA-A339-6A15D0922F80}"/>
    <cellStyle name="Millares 3 5" xfId="255" xr:uid="{4C27B5BC-7B59-4BAA-824E-1755D4FFCD06}"/>
    <cellStyle name="Millares 3 5 2" xfId="474" xr:uid="{7EE8948F-969A-47C3-BF2B-4651661BEB2A}"/>
    <cellStyle name="Millares 3 5 2 2" xfId="682" xr:uid="{287418CF-70CD-4C1A-96A9-11D66C7A47A4}"/>
    <cellStyle name="Millares 3 5 3" xfId="596" xr:uid="{AA9778D4-F8EF-453A-8DA9-95FB4D69947D}"/>
    <cellStyle name="Millares 3 6" xfId="268" xr:uid="{A4A1080C-FF94-4D84-83DE-BDBB70E40C28}"/>
    <cellStyle name="Millares 3 6 2" xfId="487" xr:uid="{CDB7621C-7CD2-4480-A60C-EE59DECC5820}"/>
    <cellStyle name="Millares 3 6 2 2" xfId="695" xr:uid="{8E4C784A-A3AE-41E7-AF73-59193F8CBD3F}"/>
    <cellStyle name="Millares 3 6 3" xfId="609" xr:uid="{EE924517-4560-4E1A-A85D-ED94705A04F5}"/>
    <cellStyle name="Millares 3 7" xfId="444" xr:uid="{96FB27BF-3A4D-46FE-8A82-0F6CE3285985}"/>
    <cellStyle name="Millares 3 7 2" xfId="652" xr:uid="{77A90EF4-8880-41A1-A7E1-683D4E3F57B3}"/>
    <cellStyle name="Millares 3 8" xfId="560" xr:uid="{90DC5B66-4FCD-4FBC-BADB-CDD01574F415}"/>
    <cellStyle name="Millares 30" xfId="422" xr:uid="{45595BC2-64FA-44BE-AC8D-C759319D7058}"/>
    <cellStyle name="Millares 30 2" xfId="505" xr:uid="{76F899E4-1939-4BA3-A495-C2344C0F7B06}"/>
    <cellStyle name="Millares 30 2 2" xfId="713" xr:uid="{7E2AA3FE-4E38-404B-AD4F-8FEDFEA810E7}"/>
    <cellStyle name="Millares 30 3" xfId="631" xr:uid="{C4E92C61-6C9D-48C8-9781-E0E3EA54B13E}"/>
    <cellStyle name="Millares 31" xfId="273" xr:uid="{E0315EED-0A6A-4E58-920D-A627C4CD0CFB}"/>
    <cellStyle name="Millares 31 2" xfId="492" xr:uid="{12BF03D5-448E-4D61-BD49-3403CFE5C43A}"/>
    <cellStyle name="Millares 31 2 2" xfId="700" xr:uid="{0CA45EA4-0D7A-4284-B72B-757B78D1BB1B}"/>
    <cellStyle name="Millares 31 3" xfId="614" xr:uid="{050C6BCB-028C-417B-90BE-42E12ECDA32E}"/>
    <cellStyle name="Millares 32" xfId="430" xr:uid="{FF4F91D1-DC5A-4C91-8FFA-222EBEFA5954}"/>
    <cellStyle name="Millares 32 2" xfId="513" xr:uid="{A08C6DB2-4A58-49A5-86D3-75B3E3509A75}"/>
    <cellStyle name="Millares 32 2 2" xfId="721" xr:uid="{92961C83-0BC2-462C-952F-7B89B5E70DB4}"/>
    <cellStyle name="Millares 32 3" xfId="639" xr:uid="{E2304E09-C36E-41B3-A3DB-5E2108E0C50B}"/>
    <cellStyle name="Millares 33" xfId="433" xr:uid="{F1A09342-43A2-40C4-BCCD-F302179EB47B}"/>
    <cellStyle name="Millares 33 2" xfId="516" xr:uid="{3C61E01D-9F28-40FC-9482-E1FA1FBAA7F3}"/>
    <cellStyle name="Millares 33 2 2" xfId="724" xr:uid="{96172FC8-3B53-4564-B779-0E398CA3DBF7}"/>
    <cellStyle name="Millares 33 3" xfId="642" xr:uid="{3ED390E7-5159-4AE8-81B5-CCE1E2B9A881}"/>
    <cellStyle name="Millares 34" xfId="435" xr:uid="{6C088926-F487-4013-8EF1-2BC9D38E15DA}"/>
    <cellStyle name="Millares 34 2" xfId="517" xr:uid="{BE3BD5C0-B784-476D-84FF-81ABD13ADCB7}"/>
    <cellStyle name="Millares 34 2 2" xfId="725" xr:uid="{8061A95D-F69C-4AED-9621-A5565ED8CBCD}"/>
    <cellStyle name="Millares 34 3" xfId="643" xr:uid="{15FB2235-629F-4AE9-ACD3-7A1C866ED3A5}"/>
    <cellStyle name="Millares 35" xfId="429" xr:uid="{30ACDB23-F17D-4BAE-86AF-3D3CFE719519}"/>
    <cellStyle name="Millares 35 2" xfId="512" xr:uid="{51321353-CCCC-4F5A-AC0C-944C0595E77A}"/>
    <cellStyle name="Millares 35 2 2" xfId="720" xr:uid="{B0AD5CDA-534F-4119-AF2D-2D7CA81CD94A}"/>
    <cellStyle name="Millares 35 3" xfId="638" xr:uid="{B956702F-9279-481F-8EE3-CE0EC6B41685}"/>
    <cellStyle name="Millares 36" xfId="432" xr:uid="{0304E356-0285-466D-8B3B-72D6FF5F4C49}"/>
    <cellStyle name="Millares 36 2" xfId="515" xr:uid="{1F19AC42-5BB6-4A30-A220-D0B245641827}"/>
    <cellStyle name="Millares 36 2 2" xfId="723" xr:uid="{DC8156BC-FAF3-43F3-BF39-F964C5657A82}"/>
    <cellStyle name="Millares 36 3" xfId="641" xr:uid="{6F8A6AB5-3408-4451-A36A-6814C11DFA92}"/>
    <cellStyle name="Millares 37" xfId="436" xr:uid="{58E74121-67BE-4C9D-952C-A66FC77710AF}"/>
    <cellStyle name="Millares 37 2" xfId="518" xr:uid="{D3CF16E4-260C-4ABD-8A09-783B18DC33A1}"/>
    <cellStyle name="Millares 37 2 2" xfId="726" xr:uid="{9D1D1A53-4057-49E4-B5B4-949BD672EF7F}"/>
    <cellStyle name="Millares 37 3" xfId="644" xr:uid="{E83E8334-19B7-44F6-A3E9-8D1CD95D55EB}"/>
    <cellStyle name="Millares 38" xfId="438" xr:uid="{EECC65E4-F767-4A59-B0A4-EFC8B8B100CD}"/>
    <cellStyle name="Millares 38 2" xfId="520" xr:uid="{D659E7AE-097F-4FDB-8ECB-D7AA11237D00}"/>
    <cellStyle name="Millares 38 2 2" xfId="728" xr:uid="{5A53CC53-8FB7-4B44-A93F-0D05FCA4FF61}"/>
    <cellStyle name="Millares 38 3" xfId="646" xr:uid="{79186EB8-BB19-4BAC-890D-2AF38D7ABEC6}"/>
    <cellStyle name="Millares 39" xfId="437" xr:uid="{7021CE4B-2D14-4A81-92B2-6C5B8E7B82B6}"/>
    <cellStyle name="Millares 39 2" xfId="519" xr:uid="{BD2E9F48-514E-44AB-BA0E-8A7A9277EE28}"/>
    <cellStyle name="Millares 39 2 2" xfId="727" xr:uid="{6D1FA31C-FCA1-429A-8DCB-518080904650}"/>
    <cellStyle name="Millares 39 3" xfId="645" xr:uid="{02E2217A-375C-491A-9E3F-91C0C4B0C069}"/>
    <cellStyle name="Millares 4" xfId="70" xr:uid="{00000000-0005-0000-0000-000066000000}"/>
    <cellStyle name="Millares 4 2" xfId="71" xr:uid="{00000000-0005-0000-0000-000067000000}"/>
    <cellStyle name="Millares 4 2 2" xfId="271" xr:uid="{8F06F5FE-3632-4927-8F36-1336D3434A5A}"/>
    <cellStyle name="Millares 4 2 2 2" xfId="490" xr:uid="{24C2D4C4-06C4-4120-8B1C-675D94777403}"/>
    <cellStyle name="Millares 4 2 2 2 2" xfId="698" xr:uid="{4A55171B-B88C-41EA-BEF0-A8237CEE2184}"/>
    <cellStyle name="Millares 4 2 2 3" xfId="612" xr:uid="{7E53306D-7AA5-4020-808D-F32AEBE4829A}"/>
    <cellStyle name="Millares 4 2 3" xfId="447" xr:uid="{ECBC09FC-1BCA-41E8-B622-543586B1239B}"/>
    <cellStyle name="Millares 4 2 3 2" xfId="655" xr:uid="{97A50E2E-1616-41D6-A04E-308F67E7F526}"/>
    <cellStyle name="Millares 4 2 4" xfId="563" xr:uid="{7B146416-B757-40B0-ACE5-F82E436643DB}"/>
    <cellStyle name="Millares 4 3" xfId="150" xr:uid="{00000000-0005-0000-0000-000068000000}"/>
    <cellStyle name="Millares 4 4" xfId="256" xr:uid="{A24E5561-BCD9-4458-818E-FB34EC0F9232}"/>
    <cellStyle name="Millares 4 4 2" xfId="475" xr:uid="{C73AD711-31BA-4B29-9030-7AEE95F22CB8}"/>
    <cellStyle name="Millares 4 4 2 2" xfId="683" xr:uid="{1121D154-B76A-497C-8395-B9B9CE9AA871}"/>
    <cellStyle name="Millares 4 4 3" xfId="597" xr:uid="{1AAAB77E-0105-4A7E-89FD-DF96E5DE7AF4}"/>
    <cellStyle name="Millares 4 5" xfId="270" xr:uid="{26F053E9-2F70-4402-84D5-02E80D82827C}"/>
    <cellStyle name="Millares 4 5 2" xfId="489" xr:uid="{3046A4F5-9CDD-4C69-B257-E686A18E9708}"/>
    <cellStyle name="Millares 4 5 2 2" xfId="697" xr:uid="{73DE4082-E825-4097-BF69-03C756AC346E}"/>
    <cellStyle name="Millares 4 5 3" xfId="611" xr:uid="{8F9402B2-A8D8-4044-8B4A-9804819379EA}"/>
    <cellStyle name="Millares 4 6" xfId="446" xr:uid="{C2D503B7-5153-4242-BBEF-0C6ADA413B1B}"/>
    <cellStyle name="Millares 4 6 2" xfId="654" xr:uid="{B822DE15-2A5A-44CA-BCB2-6C5F53548F01}"/>
    <cellStyle name="Millares 4 7" xfId="562" xr:uid="{54B984CB-FADC-4229-A5FE-676383A6AA62}"/>
    <cellStyle name="Millares 40" xfId="439" xr:uid="{A879A6C4-EF2E-467C-A353-5A77324BB0BB}"/>
    <cellStyle name="Millares 40 2" xfId="647" xr:uid="{8F3CA71D-B3A6-4703-A56E-B611DD4FEAE6}"/>
    <cellStyle name="Millares 41" xfId="441" xr:uid="{5B364B14-EF4C-4B77-9C20-417CC0A19020}"/>
    <cellStyle name="Millares 41 2" xfId="649" xr:uid="{97DE8D8C-E236-41C9-9CD8-753612E88574}"/>
    <cellStyle name="Millares 42" xfId="455" xr:uid="{68241ABA-8707-40C2-9397-1DF470E07E8C}"/>
    <cellStyle name="Millares 42 2" xfId="663" xr:uid="{7C27C7BA-563B-4EBE-B649-AC61095AF53E}"/>
    <cellStyle name="Millares 43" xfId="499" xr:uid="{312CEE3D-898A-4A60-BC95-BE13BBEE860A}"/>
    <cellStyle name="Millares 43 2" xfId="707" xr:uid="{F4A9FA61-6BF8-4841-BBB7-BDA24BF57E82}"/>
    <cellStyle name="Millares 44" xfId="531" xr:uid="{62B44441-E0C9-4273-A702-2B0C6FBE215A}"/>
    <cellStyle name="Millares 45" xfId="532" xr:uid="{395DCEE7-5CE3-4FA1-AC11-5A32272A4450}"/>
    <cellStyle name="Millares 46" xfId="538" xr:uid="{9DAC560E-E324-47B8-A15A-DE6A3E154644}"/>
    <cellStyle name="Millares 47" xfId="542" xr:uid="{A7D1EB8C-026C-4E34-B9EC-7026D99FCD76}"/>
    <cellStyle name="Millares 48" xfId="544" xr:uid="{E4CA0A0C-86EE-4E42-8647-D247778CB9DB}"/>
    <cellStyle name="Millares 49" xfId="549" xr:uid="{C3DBC621-299B-4C31-AC26-B9DD2137BBF4}"/>
    <cellStyle name="Millares 5" xfId="72" xr:uid="{00000000-0005-0000-0000-000069000000}"/>
    <cellStyle name="Millares 5 2" xfId="141" xr:uid="{00000000-0005-0000-0000-00006A000000}"/>
    <cellStyle name="Millares 5 2 2" xfId="163" xr:uid="{00000000-0005-0000-0000-00006B000000}"/>
    <cellStyle name="Millares 5 2 2 2" xfId="457" xr:uid="{C583EEDC-AD52-4B62-970F-78C5E879B4BD}"/>
    <cellStyle name="Millares 5 2 2 2 2" xfId="665" xr:uid="{18A5870D-A173-4356-9118-44B83AAC93D0}"/>
    <cellStyle name="Millares 5 2 2 3" xfId="575" xr:uid="{27F7FBA4-AF5C-4F67-9919-A028EC1E0AFF}"/>
    <cellStyle name="Millares 5 3" xfId="257" xr:uid="{0ABA23E6-8377-49EA-BED7-D783F7938CCD}"/>
    <cellStyle name="Millares 5 3 2" xfId="476" xr:uid="{D8CD70A1-6C90-4DC4-ABB8-00D1EE755F94}"/>
    <cellStyle name="Millares 5 3 2 2" xfId="684" xr:uid="{AF6CEB56-C141-4ABD-B40C-7E95F29D6F21}"/>
    <cellStyle name="Millares 5 3 3" xfId="598" xr:uid="{F1C00301-DCDA-4E8B-AEA9-C196C6440509}"/>
    <cellStyle name="Millares 5 4" xfId="272" xr:uid="{2AE19881-AB0E-4693-99DF-BBBB101DFAF2}"/>
    <cellStyle name="Millares 5 4 2" xfId="491" xr:uid="{0E8BDD5F-1A6B-44ED-A6D3-1A180A0B69E7}"/>
    <cellStyle name="Millares 5 4 2 2" xfId="699" xr:uid="{45C37127-E68C-482F-9D52-8508940C5630}"/>
    <cellStyle name="Millares 5 4 3" xfId="613" xr:uid="{16E6401F-7DC9-4BA1-BA76-A2BB6D236C4A}"/>
    <cellStyle name="Millares 5 5" xfId="448" xr:uid="{62398CB0-A774-4A57-9927-EB5D2B893272}"/>
    <cellStyle name="Millares 5 5 2" xfId="656" xr:uid="{AAEFF327-830E-4A1B-8728-3594549B10AB}"/>
    <cellStyle name="Millares 5 6" xfId="564" xr:uid="{AC40E8A8-CB2C-4DC4-BDFF-4700C9737553}"/>
    <cellStyle name="Millares 50" xfId="540" xr:uid="{96E40570-C719-4E17-9908-DCD1D71932FD}"/>
    <cellStyle name="Millares 51" xfId="537" xr:uid="{79DFA84E-C0D8-46A6-9EBA-4335350614DD}"/>
    <cellStyle name="Millares 52" xfId="547" xr:uid="{D3524587-8D59-46BB-91B2-6A8DBF933B01}"/>
    <cellStyle name="Millares 53" xfId="541" xr:uid="{651FEFEC-3133-43E6-A5A8-C5EFFE4B3D40}"/>
    <cellStyle name="Millares 54" xfId="530" xr:uid="{30BD857F-5CD0-4952-8FF7-6CA6FBCB720C}"/>
    <cellStyle name="Millares 55" xfId="533" xr:uid="{E967FF51-7FF9-4215-953E-87E0601D436A}"/>
    <cellStyle name="Millares 56" xfId="565" xr:uid="{1673E1AD-FF3D-4585-AFDF-C450B0A3DD4D}"/>
    <cellStyle name="Millares 57" xfId="580" xr:uid="{55B0F1FD-40BD-424A-911B-70E6CEB5C2AC}"/>
    <cellStyle name="Millares 58" xfId="568" xr:uid="{9C3702C7-80C7-421D-8D6B-D92B12135320}"/>
    <cellStyle name="Millares 59" xfId="550" xr:uid="{DDF1370A-24D4-459F-AD9D-E171C982F5B6}"/>
    <cellStyle name="Millares 6" xfId="183" xr:uid="{00000000-0005-0000-0000-00006C000000}"/>
    <cellStyle name="Millares 6 2" xfId="258" xr:uid="{766C1C36-A45A-4947-BE07-1C68B2D59BD4}"/>
    <cellStyle name="Millares 6 2 2" xfId="477" xr:uid="{AAEAE04C-31AB-4BF9-99BD-7454FF7E30F3}"/>
    <cellStyle name="Millares 6 2 2 2" xfId="685" xr:uid="{202830D9-6CF0-4C7E-8F1E-8186AE677AC8}"/>
    <cellStyle name="Millares 6 2 3" xfId="599" xr:uid="{F3033122-9D41-4954-8E75-AB68516268C6}"/>
    <cellStyle name="Millares 6 3" xfId="460" xr:uid="{11138EA7-9171-4EA2-A48D-9586732C6C9D}"/>
    <cellStyle name="Millares 6 3 2" xfId="668" xr:uid="{B65073F6-9646-433E-8CC4-F53FFF80317B}"/>
    <cellStyle name="Millares 6 4" xfId="578" xr:uid="{77009D8C-2144-4AB0-B345-9C879CA447D0}"/>
    <cellStyle name="Millares 60" xfId="548" xr:uid="{86136810-E2F5-4E8C-BB99-EA2812AF6D32}"/>
    <cellStyle name="Millares 61" xfId="534" xr:uid="{A946DE74-EC44-482D-B351-5897E56B3EAE}"/>
    <cellStyle name="Millares 62" xfId="736" xr:uid="{3A26D442-9390-420A-B8FB-EA67A4420730}"/>
    <cellStyle name="Millares 63" xfId="556" xr:uid="{929619AA-3423-4F96-B6F7-C7D439CA0271}"/>
    <cellStyle name="Millares 64" xfId="553" xr:uid="{D6D8E872-6235-4C17-90D3-6BB2A0FC10E3}"/>
    <cellStyle name="Millares 65" xfId="554" xr:uid="{F86F4502-C23A-41D6-A822-780CACB056ED}"/>
    <cellStyle name="Millares 66" xfId="555" xr:uid="{CEBC6F8F-6E29-4CD9-BC13-08981B4749F6}"/>
    <cellStyle name="Millares 67" xfId="734" xr:uid="{DA959F9A-98B7-4146-B197-C0E2976F1168}"/>
    <cellStyle name="Millares 68" xfId="593" xr:uid="{6774402F-FCA4-4641-AAD6-8CE188B878B0}"/>
    <cellStyle name="Millares 69" xfId="545" xr:uid="{63B4E440-8928-4915-B955-C50C67D0DD9D}"/>
    <cellStyle name="Millares 7" xfId="186" xr:uid="{00000000-0005-0000-0000-00006D000000}"/>
    <cellStyle name="Millares 7 2" xfId="259" xr:uid="{FF1206E8-DC4B-4E15-BC9A-7CDBF8A47EB0}"/>
    <cellStyle name="Millares 7 2 2" xfId="478" xr:uid="{945EE770-5D47-4313-BBF1-28ACD3AAA26C}"/>
    <cellStyle name="Millares 7 2 2 2" xfId="686" xr:uid="{4D236B37-AD84-44D5-A034-AAE1524883EC}"/>
    <cellStyle name="Millares 7 2 3" xfId="600" xr:uid="{825800AE-D9AE-4E4D-B714-BDE1F7E811C2}"/>
    <cellStyle name="Millares 7 3" xfId="462" xr:uid="{10C82784-FC57-478F-A26A-DAC17BF0B31B}"/>
    <cellStyle name="Millares 7 3 2" xfId="670" xr:uid="{FD839E85-2575-409E-93BA-7D26AF36B42E}"/>
    <cellStyle name="Millares 7 4" xfId="581" xr:uid="{819F97DB-E506-4225-8E8B-11054CF029D4}"/>
    <cellStyle name="Millares 70" xfId="536" xr:uid="{2A11FCDD-1558-4650-A6BB-A515ADA391D2}"/>
    <cellStyle name="Millares 71" xfId="543" xr:uid="{4A134678-AF1A-4C30-8B64-A8AFFCEA29B6}"/>
    <cellStyle name="Millares 72" xfId="539" xr:uid="{24C0DF48-18DE-4A9D-96B4-D0563AF24BFC}"/>
    <cellStyle name="Millares 73" xfId="730" xr:uid="{45F98AA4-B481-496E-988A-73D0FC0B134D}"/>
    <cellStyle name="Millares 74" xfId="735" xr:uid="{C89B9CF0-F791-428D-B235-9200F7BAD5D0}"/>
    <cellStyle name="Millares 75" xfId="737" xr:uid="{D43B2776-701C-480E-BC0B-73D9B9FD145B}"/>
    <cellStyle name="Millares 76" xfId="623" xr:uid="{38E107BE-F6D7-454A-9EB4-019AC25F4D61}"/>
    <cellStyle name="Millares 77" xfId="739" xr:uid="{CCF0313D-4F8D-472A-9E1C-52434B672F08}"/>
    <cellStyle name="Millares 78" xfId="557" xr:uid="{71D5A911-882C-483C-AA06-15EDA1B76B4D}"/>
    <cellStyle name="Millares 79" xfId="740" xr:uid="{981120D7-2BBF-470F-BF07-1E2380CD4892}"/>
    <cellStyle name="Millares 8" xfId="198" xr:uid="{00000000-0005-0000-0000-00006E000000}"/>
    <cellStyle name="Millares 8 2" xfId="260" xr:uid="{C5EC2C9F-0178-42D1-9E71-207811CFF8B4}"/>
    <cellStyle name="Millares 8 2 2" xfId="479" xr:uid="{38A3B2E6-04AE-4E31-8D8B-4A13273D1EEC}"/>
    <cellStyle name="Millares 8 2 2 2" xfId="687" xr:uid="{D48C8FD0-7CB8-49E0-A845-D4DF8353FA33}"/>
    <cellStyle name="Millares 8 2 3" xfId="601" xr:uid="{B36886B6-F895-4901-A4F1-84A964D95C68}"/>
    <cellStyle name="Millares 8 3" xfId="469" xr:uid="{AC704A09-1D8D-4DF8-A9CF-EDF3B94E341F}"/>
    <cellStyle name="Millares 8 3 2" xfId="677" xr:uid="{7576699E-559A-48F5-AA3D-6B119647EE75}"/>
    <cellStyle name="Millares 8 4" xfId="589" xr:uid="{F4B4FCD4-F235-4F59-9AC7-492AC4038F31}"/>
    <cellStyle name="Millares 80" xfId="625" xr:uid="{99D4B7F2-7046-4CEA-9991-1BA39D16E8F7}"/>
    <cellStyle name="Millares 81" xfId="738" xr:uid="{4490A310-2B94-49E9-9E9F-5F6AB2D1B014}"/>
    <cellStyle name="Millares 82" xfId="573" xr:uid="{F091E9CD-F9B4-4158-B415-E38F42F7E035}"/>
    <cellStyle name="Millares 83" xfId="552" xr:uid="{B536B0E5-333A-4DA5-B825-E3C54E3BEF64}"/>
    <cellStyle name="Millares 84" xfId="535" xr:uid="{2795D004-8AA7-45EB-82AF-D3F8862BE1ED}"/>
    <cellStyle name="Millares 85" xfId="741" xr:uid="{8A8C2C73-A7F5-4B45-851F-9F88D53FB380}"/>
    <cellStyle name="Millares 86" xfId="622" xr:uid="{F2D8DC16-096D-4CCC-9B62-DB0D2F1E33E6}"/>
    <cellStyle name="Millares 87" xfId="551" xr:uid="{2F39BBDC-05BD-4F16-A628-1859E82EF0F2}"/>
    <cellStyle name="Millares 88" xfId="743" xr:uid="{91F54663-37BC-46F6-9BB1-29F57B584E55}"/>
    <cellStyle name="Millares 89" xfId="745" xr:uid="{64A34DB5-54E7-4D7B-ABA2-CD2437CB1E95}"/>
    <cellStyle name="Millares 9" xfId="197" xr:uid="{00000000-0005-0000-0000-00006F000000}"/>
    <cellStyle name="Millares 9 2" xfId="468" xr:uid="{61B7A4F4-870D-46A0-915E-9469797759C2}"/>
    <cellStyle name="Millares 9 2 2" xfId="676" xr:uid="{31A50EE2-5150-41CD-BEB6-C1D741AF1203}"/>
    <cellStyle name="Millares 9 3" xfId="588" xr:uid="{57B97166-C2CA-455B-B7D0-47AC3470B87C}"/>
    <cellStyle name="Millares 9 4" xfId="757" xr:uid="{04E2DC1E-CC8C-4DEF-84CA-09D6E470A28F}"/>
    <cellStyle name="Millares 90" xfId="753" xr:uid="{4262C169-1949-4995-82EF-FD56CB6E2B9E}"/>
    <cellStyle name="Millares 91" xfId="764" xr:uid="{B8ABC71B-F19C-48CB-BB85-78B0F8D2F19A}"/>
    <cellStyle name="Millares 92" xfId="772" xr:uid="{E14BB0A5-6BBD-484F-B7BD-8CC1BB0A8913}"/>
    <cellStyle name="Millares 93" xfId="766" xr:uid="{20D31E19-E553-4B9D-8DC4-0264E2C59785}"/>
    <cellStyle name="Millares 94" xfId="774" xr:uid="{8BE94648-C4D7-4D5F-AD12-207E24142DE1}"/>
    <cellStyle name="Millares 95" xfId="754" xr:uid="{0B58AC71-A3F7-44F0-8B44-FF4C26823907}"/>
    <cellStyle name="Millares 95 2" xfId="795" xr:uid="{342973F4-0065-490B-BB80-FD05B2AF306E}"/>
    <cellStyle name="Millares 96" xfId="758" xr:uid="{C36F8EC1-DD43-414D-866B-DD0EC63804E3}"/>
    <cellStyle name="Millares 96 2" xfId="796" xr:uid="{A6D73E42-8E36-40ED-A0DF-9374859172E4}"/>
    <cellStyle name="Millares 97" xfId="746" xr:uid="{54847493-E2C9-44F7-8C07-63F8247A5D58}"/>
    <cellStyle name="Millares 97 2" xfId="794" xr:uid="{EC2BE9E8-6B14-4496-B79A-9D25750DCB4E}"/>
    <cellStyle name="Millares 98" xfId="765" xr:uid="{3F689584-4FD0-4A52-B8EC-626A0EC04E08}"/>
    <cellStyle name="Millares 98 2" xfId="797" xr:uid="{FA031CDE-179F-4F70-AF25-B8B7680838C0}"/>
    <cellStyle name="Millares 99" xfId="775" xr:uid="{7C8B53B0-9AA4-4388-B5F8-0D6FDDFA0F4B}"/>
    <cellStyle name="Millares 99 2" xfId="798" xr:uid="{C3E4A9EE-526A-404F-96B6-A202C7032F33}"/>
    <cellStyle name="Moneda" xfId="521" builtinId="4"/>
    <cellStyle name="Moneda [0] 2" xfId="171" xr:uid="{00000000-0005-0000-0000-000071000000}"/>
    <cellStyle name="Moneda 10" xfId="181" xr:uid="{00000000-0005-0000-0000-000072000000}"/>
    <cellStyle name="Moneda 10 2" xfId="350" xr:uid="{9981A993-5CE3-4AD3-947B-84E9B23C4EFE}"/>
    <cellStyle name="Moneda 10 3" xfId="393" xr:uid="{997ED297-B06C-4912-B2E8-C28C892888F1}"/>
    <cellStyle name="Moneda 10 4" xfId="307" xr:uid="{0FE8D9F8-0597-4D9D-A8A5-85F3893CDC36}"/>
    <cellStyle name="Moneda 11" xfId="288" xr:uid="{E9016D29-1532-45DB-9A48-497BB7E27D51}"/>
    <cellStyle name="Moneda 12" xfId="330" xr:uid="{1652E977-A73E-46DA-9C8B-01622B223BF5}"/>
    <cellStyle name="Moneda 13" xfId="373" xr:uid="{2744FFE3-F0AB-4DAF-AF4D-869140360905}"/>
    <cellStyle name="Moneda 14" xfId="729" xr:uid="{38C38CFD-FC1A-4D4C-986F-594799D94571}"/>
    <cellStyle name="Moneda 15" xfId="733" xr:uid="{ADBA1CB8-B9DB-400F-AEB6-8A55CD19FA2E}"/>
    <cellStyle name="Moneda 16" xfId="590" xr:uid="{288A3BF4-5CC2-4D84-A2A8-8090F63AA1A0}"/>
    <cellStyle name="Moneda 17" xfId="731" xr:uid="{9E0FD3E8-C82C-4603-8EC8-6617884B2CFF}"/>
    <cellStyle name="Moneda 18" xfId="732" xr:uid="{F40CF0F9-21F8-4500-9825-13C958A7A1DE}"/>
    <cellStyle name="Moneda 19" xfId="546" xr:uid="{64ADE355-4DC6-4C96-B243-6DCC677A867C}"/>
    <cellStyle name="Moneda 2" xfId="73" xr:uid="{00000000-0005-0000-0000-000073000000}"/>
    <cellStyle name="Moneda 2 2" xfId="108" xr:uid="{00000000-0005-0000-0000-000074000000}"/>
    <cellStyle name="Moneda 2 2 2" xfId="118" xr:uid="{00000000-0005-0000-0000-000075000000}"/>
    <cellStyle name="Moneda 2 2 2 2" xfId="175" xr:uid="{00000000-0005-0000-0000-000076000000}"/>
    <cellStyle name="Moneda 2 2 3" xfId="143" xr:uid="{00000000-0005-0000-0000-000077000000}"/>
    <cellStyle name="Moneda 2 2 4" xfId="153" xr:uid="{00000000-0005-0000-0000-000078000000}"/>
    <cellStyle name="Moneda 2 2 5" xfId="170" xr:uid="{00000000-0005-0000-0000-000079000000}"/>
    <cellStyle name="Moneda 2 2 6" xfId="173" xr:uid="{00000000-0005-0000-0000-00007A000000}"/>
    <cellStyle name="Moneda 2 3" xfId="154" xr:uid="{00000000-0005-0000-0000-00007B000000}"/>
    <cellStyle name="Moneda 2 4" xfId="169" xr:uid="{00000000-0005-0000-0000-00007C000000}"/>
    <cellStyle name="Moneda 20" xfId="624" xr:uid="{ABA55B11-86C9-44B5-985D-D719A1E10E0C}"/>
    <cellStyle name="Moneda 21" xfId="621" xr:uid="{07049EB6-8926-4EE5-BC41-E03AC9A113D7}"/>
    <cellStyle name="Moneda 22" xfId="771" xr:uid="{EC5D24FB-B291-4F50-9254-1350622EE608}"/>
    <cellStyle name="Moneda 23" xfId="742" xr:uid="{C355ADAF-A032-49A8-99E4-4CF4109FB3E5}"/>
    <cellStyle name="Moneda 24" xfId="752" xr:uid="{13B9E445-0C37-414E-9D29-A2C8BAE6D431}"/>
    <cellStyle name="Moneda 25" xfId="761" xr:uid="{4FF08F11-670F-4B58-9100-3F659749ECAA}"/>
    <cellStyle name="Moneda 26" xfId="748" xr:uid="{98692D59-092F-462C-A060-CEE70D7D469A}"/>
    <cellStyle name="Moneda 27" xfId="768" xr:uid="{2480DDA4-E6FD-4832-8B05-30AE123316A5}"/>
    <cellStyle name="Moneda 28" xfId="779" xr:uid="{7C7AEA2D-2488-49E7-A554-54A4C5AA9117}"/>
    <cellStyle name="Moneda 29" xfId="767" xr:uid="{930405FD-999E-4A38-95AD-9C54B2FF52C0}"/>
    <cellStyle name="Moneda 3" xfId="74" xr:uid="{00000000-0005-0000-0000-00007D000000}"/>
    <cellStyle name="Moneda 3 2" xfId="75" xr:uid="{00000000-0005-0000-0000-00007E000000}"/>
    <cellStyle name="Moneda 3 2 2" xfId="193" xr:uid="{00000000-0005-0000-0000-00007F000000}"/>
    <cellStyle name="Moneda 3 3" xfId="76" xr:uid="{00000000-0005-0000-0000-000080000000}"/>
    <cellStyle name="Moneda 3 3 2" xfId="195" xr:uid="{00000000-0005-0000-0000-000081000000}"/>
    <cellStyle name="Moneda 3 4" xfId="155" xr:uid="{00000000-0005-0000-0000-000082000000}"/>
    <cellStyle name="Moneda 3 4 2" xfId="416" xr:uid="{6E0933D0-22F6-4021-9CE1-A775B80880A3}"/>
    <cellStyle name="Moneda 3 5" xfId="185" xr:uid="{00000000-0005-0000-0000-000083000000}"/>
    <cellStyle name="Moneda 30" xfId="778" xr:uid="{EFA7C40B-BA5E-4CB1-B6FB-CAA394811C0B}"/>
    <cellStyle name="Moneda 31" xfId="773" xr:uid="{117E2177-78AC-41F6-9F34-275E9C0FDF67}"/>
    <cellStyle name="Moneda 32" xfId="781" xr:uid="{ECF23A11-D77B-4CF0-9630-847B4143F2FB}"/>
    <cellStyle name="Moneda 33" xfId="782" xr:uid="{34447AC8-E1C3-458F-B313-ED41BC0AC555}"/>
    <cellStyle name="Moneda 34" xfId="783" xr:uid="{FB338EAD-CC07-4D0D-AF42-F3AAC59FA9B7}"/>
    <cellStyle name="Moneda 35" xfId="784" xr:uid="{FC2FC470-3DF4-4F10-A583-8DA276B18E4D}"/>
    <cellStyle name="Moneda 36" xfId="793" xr:uid="{14C5CA10-CD99-4FB8-836C-4C783BC0D7EA}"/>
    <cellStyle name="Moneda 37" xfId="751" xr:uid="{2ADB859D-8F72-417C-ACC5-E34FB8F2FB64}"/>
    <cellStyle name="Moneda 38" xfId="786" xr:uid="{417171C8-C2D9-4850-BD1C-2CEEF1620282}"/>
    <cellStyle name="Moneda 39" xfId="791" xr:uid="{87095A35-2508-452F-AC34-0091D1A3DC63}"/>
    <cellStyle name="Moneda 4" xfId="104" xr:uid="{00000000-0005-0000-0000-000084000000}"/>
    <cellStyle name="Moneda 4 2" xfId="116" xr:uid="{00000000-0005-0000-0000-000085000000}"/>
    <cellStyle name="Moneda 4 2 2" xfId="174" xr:uid="{00000000-0005-0000-0000-000086000000}"/>
    <cellStyle name="Moneda 4 2 3" xfId="192" xr:uid="{00000000-0005-0000-0000-000087000000}"/>
    <cellStyle name="Moneda 4 3" xfId="144" xr:uid="{00000000-0005-0000-0000-000088000000}"/>
    <cellStyle name="Moneda 4 4" xfId="156" xr:uid="{00000000-0005-0000-0000-000089000000}"/>
    <cellStyle name="Moneda 4 5" xfId="172" xr:uid="{00000000-0005-0000-0000-00008A000000}"/>
    <cellStyle name="Moneda 40" xfId="790" xr:uid="{A7857903-180B-43BC-8224-BC20CB2372D1}"/>
    <cellStyle name="Moneda 41" xfId="800" xr:uid="{B3A417CA-031E-441D-9B22-4F096AD253A9}"/>
    <cellStyle name="Moneda 42" xfId="788" xr:uid="{4DBA1B7C-0E74-478E-A671-0ECA4B15C7F5}"/>
    <cellStyle name="Moneda 5" xfId="120" xr:uid="{00000000-0005-0000-0000-00008B000000}"/>
    <cellStyle name="Moneda 5 10" xfId="374" xr:uid="{1C74B3FA-1612-4329-BB86-A1DA6C21BFB3}"/>
    <cellStyle name="Moneda 5 2" xfId="152" xr:uid="{00000000-0005-0000-0000-00008C000000}"/>
    <cellStyle name="Moneda 5 2 10" xfId="281" xr:uid="{7B5B4524-FDF5-49D9-8B7E-DB1C26C3A553}"/>
    <cellStyle name="Moneda 5 2 2" xfId="287" xr:uid="{4B9E0708-A1FB-4266-9A87-6BBF9A43F85B}"/>
    <cellStyle name="Moneda 5 2 2 2" xfId="306" xr:uid="{B28A3AF3-38EB-4EFE-8B07-24FCEA457FC6}"/>
    <cellStyle name="Moneda 5 2 2 2 2" xfId="349" xr:uid="{4289A674-F9AF-4E98-BF97-D0AC88935140}"/>
    <cellStyle name="Moneda 5 2 2 2 3" xfId="392" xr:uid="{7CF853AA-A325-487C-9B69-81D346AF8CCE}"/>
    <cellStyle name="Moneda 5 2 2 3" xfId="318" xr:uid="{20B9AE50-122A-4C94-8F14-1441D58ADB8D}"/>
    <cellStyle name="Moneda 5 2 2 3 2" xfId="361" xr:uid="{83ECFD96-A962-462A-89ED-7DB46B908AEB}"/>
    <cellStyle name="Moneda 5 2 2 3 3" xfId="404" xr:uid="{EBF42E3A-4CBC-4529-BDFB-832625A39CE5}"/>
    <cellStyle name="Moneda 5 2 2 4" xfId="329" xr:uid="{065DEDCD-A66E-4C1B-9995-A1FFCE7B908A}"/>
    <cellStyle name="Moneda 5 2 2 4 2" xfId="372" xr:uid="{3FE5C97A-031D-4496-B648-76B39CAD1ED0}"/>
    <cellStyle name="Moneda 5 2 2 4 3" xfId="415" xr:uid="{499C8E4E-9EBC-405C-98A2-1A25EA13B7E8}"/>
    <cellStyle name="Moneda 5 2 2 5" xfId="295" xr:uid="{B8AA3F00-D5F3-49ED-9814-87434D5B0826}"/>
    <cellStyle name="Moneda 5 2 2 6" xfId="337" xr:uid="{41B4CC16-072B-4902-8765-C36718A91290}"/>
    <cellStyle name="Moneda 5 2 2 7" xfId="380" xr:uid="{07ADA0BC-A999-4DAF-8EF4-EBFA99AC74BB}"/>
    <cellStyle name="Moneda 5 2 3" xfId="285" xr:uid="{A84163DF-FCC1-41A2-969A-0CE15FC0B1B8}"/>
    <cellStyle name="Moneda 5 2 3 2" xfId="314" xr:uid="{76C093B1-3439-4E18-8072-2255DC7E0867}"/>
    <cellStyle name="Moneda 5 2 3 2 2" xfId="357" xr:uid="{7F79FFDA-75CE-4617-A86B-6793123B59E8}"/>
    <cellStyle name="Moneda 5 2 3 2 3" xfId="400" xr:uid="{CB0DEAD1-0FD8-45D6-9019-C9ED7E0F39A1}"/>
    <cellStyle name="Moneda 5 2 3 3" xfId="325" xr:uid="{4071B7FB-0073-4771-9133-D943A178A1F4}"/>
    <cellStyle name="Moneda 5 2 3 3 2" xfId="368" xr:uid="{9AA24F7B-F42B-4D08-99E0-0457648581F3}"/>
    <cellStyle name="Moneda 5 2 3 3 3" xfId="411" xr:uid="{4BF366D1-22C2-48A8-B3A2-971BE9EFA200}"/>
    <cellStyle name="Moneda 5 2 3 4" xfId="303" xr:uid="{4DFBFE1A-0975-46F4-9524-6ECC4B56F407}"/>
    <cellStyle name="Moneda 5 2 3 5" xfId="345" xr:uid="{A20832D8-214E-4B0E-B923-4ABB3FB663A3}"/>
    <cellStyle name="Moneda 5 2 3 6" xfId="388" xr:uid="{3387E77A-542E-43EB-8DEB-05D6F4720AD1}"/>
    <cellStyle name="Moneda 5 2 4" xfId="299" xr:uid="{F369530F-5A95-485C-B321-D03A2A5E5B3D}"/>
    <cellStyle name="Moneda 5 2 4 2" xfId="341" xr:uid="{8CABB0D6-D62C-4F6F-A33B-DC49F705BEE7}"/>
    <cellStyle name="Moneda 5 2 4 3" xfId="384" xr:uid="{EC96D4F4-202C-4EF4-8C69-51904318B15E}"/>
    <cellStyle name="Moneda 5 2 5" xfId="310" xr:uid="{6D719D08-BD29-46ED-B957-9321189FE3C9}"/>
    <cellStyle name="Moneda 5 2 5 2" xfId="353" xr:uid="{078B9E5F-EC58-4C5A-8BD9-1A564C24135B}"/>
    <cellStyle name="Moneda 5 2 5 3" xfId="396" xr:uid="{0A847CBB-993E-4869-AC6C-E232EDB35072}"/>
    <cellStyle name="Moneda 5 2 6" xfId="321" xr:uid="{6FF49D90-BF81-460E-B2C2-ABACDB89CC33}"/>
    <cellStyle name="Moneda 5 2 6 2" xfId="364" xr:uid="{6DCE9E63-CDA3-4DED-A5F5-B5777D5E2E43}"/>
    <cellStyle name="Moneda 5 2 6 3" xfId="407" xr:uid="{EE0CCD72-DFD6-46E5-BBFD-607C616B984A}"/>
    <cellStyle name="Moneda 5 2 7" xfId="291" xr:uid="{AC301F75-CFDD-4CD4-85E0-FAD090619D5C}"/>
    <cellStyle name="Moneda 5 2 8" xfId="333" xr:uid="{6CC6792F-0148-4559-B59A-F8720D711187}"/>
    <cellStyle name="Moneda 5 2 9" xfId="376" xr:uid="{D99318E3-7991-4A82-9AE9-68296635ECC7}"/>
    <cellStyle name="Moneda 5 3" xfId="176" xr:uid="{00000000-0005-0000-0000-00008D000000}"/>
    <cellStyle name="Moneda 5 3 2" xfId="304" xr:uid="{250AB7DF-BA7B-4977-8BC9-B30E0B180799}"/>
    <cellStyle name="Moneda 5 3 2 2" xfId="347" xr:uid="{4A873FCF-22D5-4F72-B5A0-E4CA8FA47D60}"/>
    <cellStyle name="Moneda 5 3 2 3" xfId="390" xr:uid="{AF0595D5-BA4F-41CE-B0E2-C591A2FEAE14}"/>
    <cellStyle name="Moneda 5 3 3" xfId="316" xr:uid="{84275967-BACE-479E-9C0F-6A029AF2D021}"/>
    <cellStyle name="Moneda 5 3 3 2" xfId="359" xr:uid="{C633117C-339D-4F8B-B9FD-6ABCAF3EFDC6}"/>
    <cellStyle name="Moneda 5 3 3 3" xfId="402" xr:uid="{6F38E612-173E-4DD1-8DE1-780D123B8979}"/>
    <cellStyle name="Moneda 5 3 4" xfId="327" xr:uid="{5F33834C-D9A6-4FE0-9BEE-681C09A0E799}"/>
    <cellStyle name="Moneda 5 3 4 2" xfId="370" xr:uid="{CD8F058B-31ED-4440-901B-ADF584ECD680}"/>
    <cellStyle name="Moneda 5 3 4 3" xfId="413" xr:uid="{9010BC81-21AC-4016-8E6B-F9B2DA1D48DC}"/>
    <cellStyle name="Moneda 5 3 5" xfId="293" xr:uid="{83CFEADF-74E9-4A87-8B19-2F9D17F319A0}"/>
    <cellStyle name="Moneda 5 3 6" xfId="335" xr:uid="{8E7E9908-6ECE-4EC2-A8F6-BED6F3B7B5DF}"/>
    <cellStyle name="Moneda 5 3 7" xfId="378" xr:uid="{CF9797CA-07B3-4FB4-A13B-A6A6584A4EF3}"/>
    <cellStyle name="Moneda 5 4" xfId="283" xr:uid="{2A73DC88-1B50-48EA-AF08-CE4FD1F93ECB}"/>
    <cellStyle name="Moneda 5 4 2" xfId="312" xr:uid="{1EEBC8EA-C7F2-454E-B354-D733095E0F67}"/>
    <cellStyle name="Moneda 5 4 2 2" xfId="355" xr:uid="{3AC93CBA-4ACD-4A4B-95D2-395EDFA2B7F4}"/>
    <cellStyle name="Moneda 5 4 2 3" xfId="398" xr:uid="{1EF5C939-F352-45B0-BAED-19BF6F15AEDD}"/>
    <cellStyle name="Moneda 5 4 3" xfId="323" xr:uid="{802BD88F-B0AF-4CC8-9314-B9119AD638B7}"/>
    <cellStyle name="Moneda 5 4 3 2" xfId="366" xr:uid="{035E5B17-B425-4471-ABF7-5EB830F0D34B}"/>
    <cellStyle name="Moneda 5 4 3 3" xfId="409" xr:uid="{197662D5-7B9E-4F51-8FF4-2C648098597B}"/>
    <cellStyle name="Moneda 5 4 4" xfId="301" xr:uid="{80B5E652-2298-4F6F-9CA8-5AC5D144C780}"/>
    <cellStyle name="Moneda 5 4 5" xfId="343" xr:uid="{D1D96299-4749-43DB-BA19-B66918090206}"/>
    <cellStyle name="Moneda 5 4 6" xfId="386" xr:uid="{B9C0CD6C-77E2-46BF-973C-DD2CB25B1FDF}"/>
    <cellStyle name="Moneda 5 5" xfId="297" xr:uid="{BF6A912E-54CB-42F8-A25D-345EBABA79C1}"/>
    <cellStyle name="Moneda 5 5 2" xfId="339" xr:uid="{E6B1F81F-EAFA-4ED6-8491-1C216793E4EE}"/>
    <cellStyle name="Moneda 5 5 3" xfId="382" xr:uid="{8C23B097-F68C-496F-8DA0-E3A1B727A02D}"/>
    <cellStyle name="Moneda 5 6" xfId="308" xr:uid="{62DBEAE8-0CA1-416A-BF0D-9B3EF3B3EE8A}"/>
    <cellStyle name="Moneda 5 6 2" xfId="351" xr:uid="{8AC33720-DD57-4932-8D7E-725E67626296}"/>
    <cellStyle name="Moneda 5 6 3" xfId="394" xr:uid="{BC269644-FC5E-44F9-A48F-1310C39C5BD4}"/>
    <cellStyle name="Moneda 5 7" xfId="319" xr:uid="{314416F8-0583-4EBA-A351-D4E3499E2CDB}"/>
    <cellStyle name="Moneda 5 7 2" xfId="362" xr:uid="{A92339B1-ECF3-43A6-91B9-2AA9020B3B37}"/>
    <cellStyle name="Moneda 5 7 3" xfId="405" xr:uid="{46C08906-774A-4A9C-92E7-77B1D942AA67}"/>
    <cellStyle name="Moneda 5 8" xfId="289" xr:uid="{C643E2A8-9FFF-4DBC-B9C6-9FC66010884D}"/>
    <cellStyle name="Moneda 5 9" xfId="331" xr:uid="{6EE5567B-1E2B-450D-8D85-9B35D5887BAB}"/>
    <cellStyle name="Moneda 6" xfId="121" xr:uid="{00000000-0005-0000-0000-00008E000000}"/>
    <cellStyle name="Moneda 6 10" xfId="280" xr:uid="{2C2FE12F-ED5A-4D9D-8168-50BD5B39788B}"/>
    <cellStyle name="Moneda 6 2" xfId="286" xr:uid="{4F3C1E55-19F1-4A13-819D-91AF949BD85E}"/>
    <cellStyle name="Moneda 6 2 2" xfId="305" xr:uid="{8A309A6F-EE92-4A9A-8568-46CE2D302559}"/>
    <cellStyle name="Moneda 6 2 2 2" xfId="348" xr:uid="{E4911015-E76B-480D-AF14-6C32C93971F7}"/>
    <cellStyle name="Moneda 6 2 2 3" xfId="391" xr:uid="{575C286C-2D5C-4602-86FF-A21E9C7B1E5E}"/>
    <cellStyle name="Moneda 6 2 3" xfId="317" xr:uid="{5D37C054-52F7-4DBF-8F8A-4433DD615166}"/>
    <cellStyle name="Moneda 6 2 3 2" xfId="360" xr:uid="{3802B2F0-275E-4DD2-BE55-4DF8FD399785}"/>
    <cellStyle name="Moneda 6 2 3 3" xfId="403" xr:uid="{C631B59B-8C65-49EC-85B6-21673D08136C}"/>
    <cellStyle name="Moneda 6 2 4" xfId="328" xr:uid="{E4E36DD0-A21D-44AE-8861-B57C0A9C05B2}"/>
    <cellStyle name="Moneda 6 2 4 2" xfId="371" xr:uid="{140CC3CD-8C97-4A00-B3A5-05A9D0DB8F54}"/>
    <cellStyle name="Moneda 6 2 4 3" xfId="414" xr:uid="{7BE7D7E6-08E6-4562-9B83-E3D77336B920}"/>
    <cellStyle name="Moneda 6 2 5" xfId="294" xr:uid="{756EACF0-EFB1-4970-BAB7-803BB23964E0}"/>
    <cellStyle name="Moneda 6 2 6" xfId="336" xr:uid="{60DBEFF3-42E9-4353-95A1-684F995BC984}"/>
    <cellStyle name="Moneda 6 2 7" xfId="379" xr:uid="{908FC41B-7A9F-4886-8F03-BA5A11CDC44A}"/>
    <cellStyle name="Moneda 6 3" xfId="284" xr:uid="{F9AA25A2-ED71-4F86-A526-B307B02F7AC5}"/>
    <cellStyle name="Moneda 6 3 2" xfId="313" xr:uid="{306116CA-0A46-41AF-AB81-CDF0138DD4EE}"/>
    <cellStyle name="Moneda 6 3 2 2" xfId="356" xr:uid="{A8F5E3B4-1D35-464C-822E-AADADD6E397C}"/>
    <cellStyle name="Moneda 6 3 2 3" xfId="399" xr:uid="{7218BA8C-A058-4194-A684-96B3AB527496}"/>
    <cellStyle name="Moneda 6 3 3" xfId="324" xr:uid="{6C60F508-80CB-4905-91EE-077E4C18AEAD}"/>
    <cellStyle name="Moneda 6 3 3 2" xfId="367" xr:uid="{C97B7A2B-F6A6-454A-B39C-7723D2638CD0}"/>
    <cellStyle name="Moneda 6 3 3 3" xfId="410" xr:uid="{D7C514EA-7DA8-48F2-A5BD-B330CF3D44B0}"/>
    <cellStyle name="Moneda 6 3 4" xfId="302" xr:uid="{A9B5E4F9-1EEB-4C21-86B6-E6BFB25049A0}"/>
    <cellStyle name="Moneda 6 3 5" xfId="344" xr:uid="{AEB66837-8275-4FA4-BB81-7BFECC8D6CD4}"/>
    <cellStyle name="Moneda 6 3 6" xfId="387" xr:uid="{81B8AB8C-9C4C-44DD-B846-892AC7C011F4}"/>
    <cellStyle name="Moneda 6 4" xfId="298" xr:uid="{5B4E6049-940C-4B6B-8A11-1C94826C6A5C}"/>
    <cellStyle name="Moneda 6 4 2" xfId="340" xr:uid="{A62F1F48-CD9C-4103-9703-D50FDBA8DA9B}"/>
    <cellStyle name="Moneda 6 4 3" xfId="383" xr:uid="{86CC8D05-7BCB-4E6C-84C2-62381732DA02}"/>
    <cellStyle name="Moneda 6 5" xfId="309" xr:uid="{652BD56B-3FF7-485A-984C-D7723F3A0766}"/>
    <cellStyle name="Moneda 6 5 2" xfId="352" xr:uid="{242BB721-5A42-4951-82EC-95633B8BF317}"/>
    <cellStyle name="Moneda 6 5 3" xfId="395" xr:uid="{76044528-33CF-47E0-AB97-53C32ECFB913}"/>
    <cellStyle name="Moneda 6 6" xfId="320" xr:uid="{7F6FF768-0E32-46F0-B8BE-D105A62D4CC1}"/>
    <cellStyle name="Moneda 6 6 2" xfId="363" xr:uid="{2709C4E6-EFD7-420D-A96A-71833BF397CB}"/>
    <cellStyle name="Moneda 6 6 3" xfId="406" xr:uid="{7C7F576F-034B-47DC-88A2-812F58499737}"/>
    <cellStyle name="Moneda 6 7" xfId="290" xr:uid="{36AB8465-9879-463A-9DAB-D09243CD062C}"/>
    <cellStyle name="Moneda 6 8" xfId="332" xr:uid="{36AF8B52-7CFC-4D7C-8AC8-F786116B2F3A}"/>
    <cellStyle name="Moneda 6 9" xfId="375" xr:uid="{370F0AE5-6E8C-420A-8336-5ECC0403901A}"/>
    <cellStyle name="Moneda 7" xfId="142" xr:uid="{00000000-0005-0000-0000-00008F000000}"/>
    <cellStyle name="Moneda 7 2" xfId="177" xr:uid="{00000000-0005-0000-0000-000090000000}"/>
    <cellStyle name="Moneda 7 2 2" xfId="346" xr:uid="{156BA5B8-C579-4B12-BF1C-8FDE322D109D}"/>
    <cellStyle name="Moneda 7 2 3" xfId="389" xr:uid="{032E35DE-0C3F-406A-8F6D-0B60F0367ED3}"/>
    <cellStyle name="Moneda 7 3" xfId="315" xr:uid="{B60FBE36-B966-4616-AE22-D450F940DF7A}"/>
    <cellStyle name="Moneda 7 3 2" xfId="358" xr:uid="{8093DDA6-8BD4-4108-A2D8-44093D1FA6C5}"/>
    <cellStyle name="Moneda 7 3 3" xfId="401" xr:uid="{CEA6E6B7-9B4E-405E-BA6D-90FE6D945005}"/>
    <cellStyle name="Moneda 7 4" xfId="326" xr:uid="{18713644-C04E-44D2-8F03-5982D35506C5}"/>
    <cellStyle name="Moneda 7 4 2" xfId="369" xr:uid="{96A2A924-8A49-4ED2-8DA9-078B4842E516}"/>
    <cellStyle name="Moneda 7 4 3" xfId="412" xr:uid="{26D08D80-C914-4E8F-895A-FDD20926F264}"/>
    <cellStyle name="Moneda 7 5" xfId="292" xr:uid="{82018110-CD93-441A-B61B-BDA1CDA733FC}"/>
    <cellStyle name="Moneda 7 6" xfId="334" xr:uid="{0381B922-CB7B-4DB3-B798-1D02A03F5E8C}"/>
    <cellStyle name="Moneda 7 7" xfId="377" xr:uid="{87A09836-20FF-4E12-BD61-86B7E65BAD81}"/>
    <cellStyle name="Moneda 8" xfId="178" xr:uid="{00000000-0005-0000-0000-000091000000}"/>
    <cellStyle name="Moneda 8 2" xfId="311" xr:uid="{6D37F418-617A-4A3D-A22A-590F3E0053D4}"/>
    <cellStyle name="Moneda 8 2 2" xfId="354" xr:uid="{45066F65-7A59-4D31-A0EC-8D3205893597}"/>
    <cellStyle name="Moneda 8 2 3" xfId="397" xr:uid="{59BA18BF-F684-4DBF-B692-11C299D06EA0}"/>
    <cellStyle name="Moneda 8 3" xfId="322" xr:uid="{F757DB84-27A7-4B93-B860-B0E96FF81299}"/>
    <cellStyle name="Moneda 8 3 2" xfId="365" xr:uid="{66AC921E-4779-48DD-8E73-D1DF8C06DCD3}"/>
    <cellStyle name="Moneda 8 3 3" xfId="408" xr:uid="{22501038-DFF9-41D2-B4AB-3548ED5BD550}"/>
    <cellStyle name="Moneda 8 4" xfId="300" xr:uid="{BA6018F0-20BB-4863-9BC2-9A7D6AD1252A}"/>
    <cellStyle name="Moneda 8 5" xfId="342" xr:uid="{9E4ED964-26A6-447D-91C1-B36AEC9E05F3}"/>
    <cellStyle name="Moneda 8 6" xfId="385" xr:uid="{C0647D96-7066-4329-ABE5-33A459860EC1}"/>
    <cellStyle name="Moneda 8 7" xfId="282" xr:uid="{3F160F3B-4C59-491E-83A9-22BEA5A944CE}"/>
    <cellStyle name="Moneda 9" xfId="179" xr:uid="{00000000-0005-0000-0000-000092000000}"/>
    <cellStyle name="Moneda 9 2" xfId="338" xr:uid="{94E8E8EE-9857-4D6D-B586-FB0BE1042410}"/>
    <cellStyle name="Moneda 9 3" xfId="381" xr:uid="{1AC73542-F671-42B0-9988-8261C77B2A33}"/>
    <cellStyle name="Moneda 9 4" xfId="296" xr:uid="{38F0FAE3-A678-429D-A8FC-CA23E96A9335}"/>
    <cellStyle name="Neutral" xfId="523" builtinId="28" customBuiltin="1"/>
    <cellStyle name="Neutral 2" xfId="245" xr:uid="{63BFEF89-401C-4023-B4C5-8541239D6C8F}"/>
    <cellStyle name="Neutral 2 2" xfId="744" xr:uid="{B9E5048B-888D-4A62-A096-4FD812B343EA}"/>
    <cellStyle name="Neutral 3" xfId="234" xr:uid="{2BD1E22A-7BEF-457E-B7BA-AA3B6B4CD2B5}"/>
    <cellStyle name="Normal" xfId="0" builtinId="0"/>
    <cellStyle name="Normal 10" xfId="164" xr:uid="{00000000-0005-0000-0000-000094000000}"/>
    <cellStyle name="Normal 11" xfId="165" xr:uid="{00000000-0005-0000-0000-000095000000}"/>
    <cellStyle name="Normal 11 2" xfId="102" xr:uid="{00000000-0005-0000-0000-000096000000}"/>
    <cellStyle name="Normal 15" xfId="586" xr:uid="{37E2E9BA-FB3D-4415-A377-52E525DC00D7}"/>
    <cellStyle name="Normal 2" xfId="77" xr:uid="{00000000-0005-0000-0000-000097000000}"/>
    <cellStyle name="Normal 2 10 2" xfId="147" xr:uid="{00000000-0005-0000-0000-000098000000}"/>
    <cellStyle name="Normal 2 2" xfId="78" xr:uid="{00000000-0005-0000-0000-000099000000}"/>
    <cellStyle name="Normal 2 2 2" xfId="110" xr:uid="{00000000-0005-0000-0000-00009A000000}"/>
    <cellStyle name="Normal 2 2 2 2" xfId="145" xr:uid="{00000000-0005-0000-0000-00009B000000}"/>
    <cellStyle name="Normal 2 3" xfId="111" xr:uid="{00000000-0005-0000-0000-00009C000000}"/>
    <cellStyle name="Normal 2 4" xfId="112" xr:uid="{00000000-0005-0000-0000-00009D000000}"/>
    <cellStyle name="Normal 2 5" xfId="109" xr:uid="{00000000-0005-0000-0000-00009E000000}"/>
    <cellStyle name="Normal 2 6" xfId="749" xr:uid="{E4158648-2824-4907-8B92-B7D1B0C56494}"/>
    <cellStyle name="Normal 2_Acuerdos de Desempeño Patrimonios Autónomos-II (Mayo 03-12)" xfId="113" xr:uid="{00000000-0005-0000-0000-00009F000000}"/>
    <cellStyle name="Normal 3" xfId="79" xr:uid="{00000000-0005-0000-0000-0000A0000000}"/>
    <cellStyle name="Normal 3 2" xfId="80" xr:uid="{00000000-0005-0000-0000-0000A1000000}"/>
    <cellStyle name="Normal 3 2 2" xfId="148" xr:uid="{00000000-0005-0000-0000-0000A2000000}"/>
    <cellStyle name="Normal 3 2 2 2" xfId="770" xr:uid="{A2AD57E2-4BA2-43DE-853D-CB19A37451AF}"/>
    <cellStyle name="Normal 3 3" xfId="81" xr:uid="{00000000-0005-0000-0000-0000A3000000}"/>
    <cellStyle name="Normal 3 4" xfId="82" xr:uid="{00000000-0005-0000-0000-0000A4000000}"/>
    <cellStyle name="Normal 4" xfId="83" xr:uid="{00000000-0005-0000-0000-0000A5000000}"/>
    <cellStyle name="Normal 4 2" xfId="191" xr:uid="{00000000-0005-0000-0000-0000A6000000}"/>
    <cellStyle name="Normal 5" xfId="105" xr:uid="{00000000-0005-0000-0000-0000A7000000}"/>
    <cellStyle name="Normal 5 2" xfId="117" xr:uid="{00000000-0005-0000-0000-0000A8000000}"/>
    <cellStyle name="Normal 6" xfId="115" xr:uid="{00000000-0005-0000-0000-0000A9000000}"/>
    <cellStyle name="Normal 6 2" xfId="119" xr:uid="{00000000-0005-0000-0000-0000AA000000}"/>
    <cellStyle name="Normal 6 3" xfId="157" xr:uid="{00000000-0005-0000-0000-0000AB000000}"/>
    <cellStyle name="Normal 7" xfId="158" xr:uid="{00000000-0005-0000-0000-0000AC000000}"/>
    <cellStyle name="Normal 8" xfId="149" xr:uid="{00000000-0005-0000-0000-0000AD000000}"/>
    <cellStyle name="Notas" xfId="211" builtinId="10" customBuiltin="1"/>
    <cellStyle name="Notas 2" xfId="84" xr:uid="{00000000-0005-0000-0000-0000AE000000}"/>
    <cellStyle name="Note" xfId="85" xr:uid="{00000000-0005-0000-0000-0000AF000000}"/>
    <cellStyle name="Note 2" xfId="86" xr:uid="{00000000-0005-0000-0000-0000B0000000}"/>
    <cellStyle name="Note 3" xfId="87" xr:uid="{00000000-0005-0000-0000-0000B1000000}"/>
    <cellStyle name="Output" xfId="88" xr:uid="{00000000-0005-0000-0000-0000B2000000}"/>
    <cellStyle name="Porcentaje" xfId="89" builtinId="5"/>
    <cellStyle name="Porcentaje 2" xfId="114" xr:uid="{00000000-0005-0000-0000-0000B4000000}"/>
    <cellStyle name="Porcentaje 2 2" xfId="160" xr:uid="{00000000-0005-0000-0000-0000B5000000}"/>
    <cellStyle name="Porcentaje 3" xfId="106" xr:uid="{00000000-0005-0000-0000-0000B6000000}"/>
    <cellStyle name="Porcentaje 3 2" xfId="194" xr:uid="{00000000-0005-0000-0000-0000B7000000}"/>
    <cellStyle name="Porcentaje 4" xfId="159" xr:uid="{00000000-0005-0000-0000-0000B8000000}"/>
    <cellStyle name="Porcentual 2" xfId="90" xr:uid="{00000000-0005-0000-0000-0000B9000000}"/>
    <cellStyle name="Porcentual 2 2" xfId="91" xr:uid="{00000000-0005-0000-0000-0000BA000000}"/>
    <cellStyle name="Porcentual 2 2 2" xfId="92" xr:uid="{00000000-0005-0000-0000-0000BB000000}"/>
    <cellStyle name="Porcentual 2 2 2 2" xfId="146" xr:uid="{00000000-0005-0000-0000-0000BC000000}"/>
    <cellStyle name="Porcentual 2 2 2 2 2" xfId="167" xr:uid="{00000000-0005-0000-0000-0000BD000000}"/>
    <cellStyle name="Porcentual 2 2 2 3" xfId="168" xr:uid="{00000000-0005-0000-0000-0000BE000000}"/>
    <cellStyle name="Porcentual 2 2 3" xfId="93" xr:uid="{00000000-0005-0000-0000-0000BF000000}"/>
    <cellStyle name="Porcentual 2 2 3 2" xfId="166" xr:uid="{00000000-0005-0000-0000-0000C0000000}"/>
    <cellStyle name="Porcentual 2 3" xfId="94" xr:uid="{00000000-0005-0000-0000-0000C1000000}"/>
    <cellStyle name="Porcentual 2 41" xfId="162" xr:uid="{00000000-0005-0000-0000-0000C2000000}"/>
    <cellStyle name="Porcentual 3" xfId="95" xr:uid="{00000000-0005-0000-0000-0000C3000000}"/>
    <cellStyle name="Porcentual 3 2" xfId="96" xr:uid="{00000000-0005-0000-0000-0000C4000000}"/>
    <cellStyle name="Porcentual 4" xfId="97" xr:uid="{00000000-0005-0000-0000-0000C5000000}"/>
    <cellStyle name="Salida" xfId="206" builtinId="21" customBuiltin="1"/>
    <cellStyle name="Texto de advertencia" xfId="210" builtinId="11" customBuiltin="1"/>
    <cellStyle name="Texto explicativo" xfId="212" builtinId="53" customBuiltin="1"/>
    <cellStyle name="Title" xfId="98" xr:uid="{00000000-0005-0000-0000-0000C6000000}"/>
    <cellStyle name="Título" xfId="522" builtinId="15" customBuiltin="1"/>
    <cellStyle name="Título 2" xfId="200" builtinId="17" customBuiltin="1"/>
    <cellStyle name="Título 3" xfId="201" builtinId="18" customBuiltin="1"/>
    <cellStyle name="Título 4" xfId="244" xr:uid="{37F4AB59-D44B-43A1-AFDD-6DB3E8F0899D}"/>
    <cellStyle name="Título 5" xfId="253" xr:uid="{C511BE1E-F467-4AE2-B354-6CA48DE3A76E}"/>
    <cellStyle name="Título 6" xfId="233" xr:uid="{3D9D7C42-3F67-4EFB-A3DF-2BF2A6D17369}"/>
    <cellStyle name="Total" xfId="213" builtinId="25" customBuiltin="1"/>
    <cellStyle name="Warning Text" xfId="99" xr:uid="{00000000-0005-0000-0000-0000C7000000}"/>
  </cellStyles>
  <dxfs count="0"/>
  <tableStyles count="0" defaultTableStyle="TableStyleMedium9" defaultPivotStyle="PivotStyleLight16"/>
  <colors>
    <mruColors>
      <color rgb="FFFFC000"/>
      <color rgb="FFCCFF66"/>
      <color rgb="FF46B688"/>
      <color rgb="FFFFFF99"/>
      <color rgb="FF016AA3"/>
      <color rgb="FFFFCC00"/>
      <color rgb="FFFEA34F"/>
      <color rgb="FFFF99CC"/>
      <color rgb="FF99FF33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val>
            <c:numRef>
              <c:f>'INGRESOS '!$P$34:$P$36</c:f>
            </c:numRef>
          </c:val>
          <c:extLst>
            <c:ext xmlns:c16="http://schemas.microsoft.com/office/drawing/2014/chart" uri="{C3380CC4-5D6E-409C-BE32-E72D297353CC}">
              <c16:uniqueId val="{00000000-A324-461B-BF2F-67492A56D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val>
            <c:numRef>
              <c:f>'INGRESOS '!$P$34:$P$36</c:f>
            </c:numRef>
          </c:val>
          <c:extLst>
            <c:ext xmlns:c16="http://schemas.microsoft.com/office/drawing/2014/chart" uri="{C3380CC4-5D6E-409C-BE32-E72D297353CC}">
              <c16:uniqueId val="{00000000-1ECB-4A53-A391-C3F224B88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31</xdr:row>
      <xdr:rowOff>70757</xdr:rowOff>
    </xdr:from>
    <xdr:to>
      <xdr:col>19</xdr:col>
      <xdr:colOff>0</xdr:colOff>
      <xdr:row>47</xdr:row>
      <xdr:rowOff>45042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41EFDB6-DF78-48BF-ABC8-C2EC93C301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1006929</xdr:colOff>
      <xdr:row>53</xdr:row>
      <xdr:rowOff>179613</xdr:rowOff>
    </xdr:from>
    <xdr:to>
      <xdr:col>7</xdr:col>
      <xdr:colOff>0</xdr:colOff>
      <xdr:row>69</xdr:row>
      <xdr:rowOff>153899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1D6F177-E7E5-49A8-9C43-17E544ABC8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nturcolombia-my.sharepoint.com/personal/arojas_fontur_com_co/Documents/AROJAS/PRESUPUESTO/Presupuesto%202024/Informe%20mensual%20supervisi&#243;n/MENSUAL/1.%20Enero%202024/1.5%20Modificaciones%20al%20Presupuesto.xlsx" TargetMode="External"/><Relationship Id="rId1" Type="http://schemas.openxmlformats.org/officeDocument/2006/relationships/externalLinkPath" Target="MENSUAL/1.%20Enero%202024/1.5%20Modificaciones%20al%20Presupuesto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fonturcolombia-my.sharepoint.com/personal/arojas_fontur_com_co/Documents/AROJAS/PRESUPUESTO/Presupuesto%202024/Comit&#233;%20Directivo/1.Enero%202024/Presentaci&#243;n%20Definitiva/Ejecuci&#243;n%20Presupuestal%20P.A.%20FONTUR%2031%20enero%202024.xlsx" TargetMode="External"/><Relationship Id="rId2" Type="http://schemas.microsoft.com/office/2019/04/relationships/externalLinkLongPath" Target="/personal/arojas_fontur_com_co/Documents/AROJAS/PRESUPUESTO/Presupuesto%202024/Comit&#233;%20Directivo/1.Enero%202024/Presentaci&#243;n%20Definitiva/Ejecuci&#243;n%20Presupuestal%20P.A.%20FONTUR%2031%20enero%202024.xlsx?67C46762" TargetMode="External"/><Relationship Id="rId1" Type="http://schemas.openxmlformats.org/officeDocument/2006/relationships/externalLinkPath" Target="file:///\\67C46762\Ejecuci&#243;n%20Presupuestal%20P.A.%20FONTUR%2031%20enero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fonturcolombia-my.sharepoint.com/personal/arojas_fontur_com_co/Documents/AROJAS/PRESUPUESTO/Presupuesto%202024/Comit&#233;%20Directivo/2.Febrero%202024/Presentaci&#243;n%20definitiva/Ejecuci&#243;n%20Presupuestal%20P.A.%20FONTUR%2028%20febrero%202024.xlsx" TargetMode="External"/><Relationship Id="rId2" Type="http://schemas.microsoft.com/office/2019/04/relationships/externalLinkLongPath" Target="/personal/arojas_fontur_com_co/Documents/AROJAS/PRESUPUESTO/Presupuesto%202024/Comit&#233;%20Directivo/2.Febrero%202024/Presentaci&#243;n%20definitiva/Ejecuci&#243;n%20Presupuestal%20P.A.%20FONTUR%2028%20febrero%202024.xlsx?1376E16A" TargetMode="External"/><Relationship Id="rId1" Type="http://schemas.openxmlformats.org/officeDocument/2006/relationships/externalLinkPath" Target="file:///\\1376E16A\Ejecuci&#243;n%20Presupuestal%20P.A.%20FONTUR%2028%20febrero%202024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fonturcolombia-my.sharepoint.com/personal/arojas_fontur_com_co/Documents/AROJAS/PRESUPUESTO/Presupuesto%202024/Comit&#233;%20Directivo/3.%20Marzo%202024/Presentaci&#243;n%20Definitiva/Ejecuci&#243;n%20Presupuestal%20P.A.%20FONTUR%2031%20marzo%202024.xlsx" TargetMode="External"/><Relationship Id="rId2" Type="http://schemas.microsoft.com/office/2019/04/relationships/externalLinkLongPath" Target="/personal/arojas_fontur_com_co/Documents/AROJAS/PRESUPUESTO/Presupuesto%202024/Comit&#233;%20Directivo/3.%20Marzo%202024/Presentaci&#243;n%20Definitiva/Ejecuci&#243;n%20Presupuestal%20P.A.%20FONTUR%2031%20marzo%202024.xlsx?C827FF4C" TargetMode="External"/><Relationship Id="rId1" Type="http://schemas.openxmlformats.org/officeDocument/2006/relationships/externalLinkPath" Target="file:///\\C827FF4C\Ejecuci&#243;n%20Presupuestal%20P.A.%20FONTUR%2031%20marzo%202024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nturcolombia-my.sharepoint.com/personal/arojas_fontur_com_co/Documents/AROJAS/PRESUPUESTO/Presupuesto%202024/Comit&#233;%20Directivo/4.%20Abril%202024/Ejecuci&#243;n%20Presupuestal%20P.A.%20FONTUR%2030%20abril%202024.xlsx" TargetMode="External"/><Relationship Id="rId1" Type="http://schemas.openxmlformats.org/officeDocument/2006/relationships/externalLinkPath" Target="/personal/arojas_fontur_com_co/Documents/AROJAS/PRESUPUESTO/Presupuesto%202024/Comit&#233;%20Directivo/4.%20Abril%202024/Ejecuci&#243;n%20Presupuestal%20P.A.%20FONTUR%2030%20abril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PTO 2023-2024"/>
      <sheetName val="PROYECCIÓN DE INGRESOS 2024"/>
      <sheetName val="Modificaciones PPTO 2024"/>
      <sheetName val="FUNCIONAMIENTO 2024"/>
      <sheetName val="Justificación Comunicaciones"/>
    </sheetNames>
    <sheetDataSet>
      <sheetData sheetId="0"/>
      <sheetData sheetId="1"/>
      <sheetData sheetId="2">
        <row r="57">
          <cell r="E57">
            <v>214636927251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DETALLE PPTO INGRESO 29-02-2020"/>
      <sheetName val="PPTO FONTUR 31-01-2024 INGRE "/>
      <sheetName val="Ingresos Bienes"/>
      <sheetName val="Mayor valor recibido ppto 2024"/>
      <sheetName val="PPTO FONTUR 31-01-2024 EGRESOS "/>
      <sheetName val="Detalle Ejecución PPTAL"/>
      <sheetName val="Detalle Funcionamiento"/>
    </sheetNames>
    <sheetDataSet>
      <sheetData sheetId="0" refreshError="1"/>
      <sheetData sheetId="1">
        <row r="29">
          <cell r="B29">
            <v>419248813</v>
          </cell>
          <cell r="C29">
            <v>105258032</v>
          </cell>
          <cell r="E29">
            <v>105258032</v>
          </cell>
          <cell r="G29">
            <v>283739604035</v>
          </cell>
          <cell r="H29">
            <v>69635760902</v>
          </cell>
          <cell r="J29">
            <v>69635760902</v>
          </cell>
          <cell r="L29">
            <v>230810651182</v>
          </cell>
          <cell r="M29">
            <v>97812428420.460007</v>
          </cell>
          <cell r="O29">
            <v>97812428420.460007</v>
          </cell>
        </row>
      </sheetData>
      <sheetData sheetId="2" refreshError="1"/>
      <sheetData sheetId="3" refreshError="1"/>
      <sheetData sheetId="4">
        <row r="28">
          <cell r="C28">
            <v>419248813</v>
          </cell>
          <cell r="G28">
            <v>73163775</v>
          </cell>
          <cell r="I28">
            <v>73163775</v>
          </cell>
          <cell r="L28">
            <v>283739604035</v>
          </cell>
          <cell r="N28">
            <v>849150</v>
          </cell>
          <cell r="P28">
            <v>849150</v>
          </cell>
          <cell r="R28">
            <v>0</v>
          </cell>
          <cell r="W28">
            <v>12907530364.76</v>
          </cell>
          <cell r="Y28">
            <v>1939189712.76</v>
          </cell>
          <cell r="AA28">
            <v>1713350613.76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DETALLE PPTO INGRESO 29-02-2020"/>
      <sheetName val="PPTO FONTUR 28-02-2024 INGRE "/>
      <sheetName val="Ingresos Bienes"/>
      <sheetName val="Mayor valor recibido ppto 2024"/>
      <sheetName val="PPTO FONTUR 28-02-2024 EGRESOS "/>
      <sheetName val="Detalle Ejecución PPTAL"/>
      <sheetName val="Detalle Funcionamiento"/>
    </sheetNames>
    <sheetDataSet>
      <sheetData sheetId="0" refreshError="1"/>
      <sheetData sheetId="1">
        <row r="29">
          <cell r="C29">
            <v>146132699</v>
          </cell>
          <cell r="E29">
            <v>146132699</v>
          </cell>
          <cell r="G29">
            <v>283739604035</v>
          </cell>
          <cell r="H29">
            <v>70643762571.25</v>
          </cell>
          <cell r="J29">
            <v>70643762571.25</v>
          </cell>
          <cell r="L29">
            <v>230810651182</v>
          </cell>
          <cell r="M29">
            <v>101457889956.54001</v>
          </cell>
          <cell r="O29">
            <v>101457889956.54001</v>
          </cell>
        </row>
      </sheetData>
      <sheetData sheetId="2" refreshError="1"/>
      <sheetData sheetId="3" refreshError="1"/>
      <sheetData sheetId="4">
        <row r="34">
          <cell r="C34">
            <v>419248813</v>
          </cell>
          <cell r="G34">
            <v>101998723</v>
          </cell>
          <cell r="I34">
            <v>101998723</v>
          </cell>
          <cell r="N34">
            <v>27244989986</v>
          </cell>
          <cell r="P34">
            <v>2100258963</v>
          </cell>
          <cell r="R34">
            <v>2058422509</v>
          </cell>
          <cell r="U34">
            <v>230810651182</v>
          </cell>
          <cell r="W34">
            <v>25390355572.639999</v>
          </cell>
          <cell r="Y34">
            <v>4043019092.8400002</v>
          </cell>
          <cell r="AA34">
            <v>1892866459.3</v>
          </cell>
        </row>
      </sheetData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DETALLE PPTO INGRESO 29-02-2020"/>
      <sheetName val="PPTO FONTUR 31-03-2024 INGRE "/>
      <sheetName val="Ingresos Bienes"/>
      <sheetName val="Mayor valor recibido ppto 2024"/>
      <sheetName val="PPTO FONTUR 31-03-2024 EGRESOS "/>
      <sheetName val="Detalle Ejecución PPTAL"/>
      <sheetName val="Detalle Funcionamiento"/>
    </sheetNames>
    <sheetDataSet>
      <sheetData sheetId="0" refreshError="1"/>
      <sheetData sheetId="1">
        <row r="29">
          <cell r="C29">
            <v>187052413</v>
          </cell>
          <cell r="E29">
            <v>187052413</v>
          </cell>
          <cell r="G29">
            <v>283739604035</v>
          </cell>
          <cell r="H29">
            <v>72014963642.26001</v>
          </cell>
          <cell r="J29">
            <v>72014963642.26001</v>
          </cell>
          <cell r="L29">
            <v>230810651182</v>
          </cell>
          <cell r="M29">
            <v>104294688815.59001</v>
          </cell>
          <cell r="O29">
            <v>104294688815.59001</v>
          </cell>
        </row>
      </sheetData>
      <sheetData sheetId="2" refreshError="1"/>
      <sheetData sheetId="3" refreshError="1"/>
      <sheetData sheetId="4">
        <row r="24">
          <cell r="R24">
            <v>4199768177</v>
          </cell>
        </row>
        <row r="34">
          <cell r="C34">
            <v>419248813</v>
          </cell>
          <cell r="E34">
            <v>130852553</v>
          </cell>
          <cell r="G34">
            <v>130852553</v>
          </cell>
          <cell r="L34">
            <v>283739604035</v>
          </cell>
          <cell r="N34">
            <v>55475840956</v>
          </cell>
          <cell r="P34">
            <v>9648105837</v>
          </cell>
          <cell r="U34">
            <v>230810651182</v>
          </cell>
          <cell r="W34">
            <v>26968159920.799999</v>
          </cell>
          <cell r="Y34">
            <v>14416122350</v>
          </cell>
          <cell r="AA34">
            <v>2665403087</v>
          </cell>
        </row>
      </sheetData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TALLE PPTO INGRESO 29-02-2020"/>
      <sheetName val="PPTO FONTUR 30-04-2024 INGRE "/>
      <sheetName val="Ingresos Bienes"/>
      <sheetName val="Mayor valor recibido ppto 2024"/>
      <sheetName val="PPTO FONTUR 30-04-2024 EGRESOS "/>
      <sheetName val="Hoja1"/>
      <sheetName val="Detalle Ejecución PPTAL"/>
      <sheetName val="Detalle Funcionamiento"/>
    </sheetNames>
    <sheetDataSet>
      <sheetData sheetId="0"/>
      <sheetData sheetId="1">
        <row r="29">
          <cell r="B29">
            <v>419248813</v>
          </cell>
          <cell r="C29">
            <v>294771101</v>
          </cell>
          <cell r="E29">
            <v>294771101</v>
          </cell>
          <cell r="G29">
            <v>286912173770</v>
          </cell>
          <cell r="H29">
            <v>286154532072.26001</v>
          </cell>
          <cell r="J29">
            <v>80206013072.26001</v>
          </cell>
          <cell r="M29">
            <v>139040707605.09</v>
          </cell>
          <cell r="O29">
            <v>139040707605.09</v>
          </cell>
        </row>
      </sheetData>
      <sheetData sheetId="2"/>
      <sheetData sheetId="3"/>
      <sheetData sheetId="4">
        <row r="34">
          <cell r="C34">
            <v>419248813</v>
          </cell>
          <cell r="E34">
            <v>130852553</v>
          </cell>
          <cell r="G34">
            <v>130852553</v>
          </cell>
          <cell r="I34">
            <v>130852553</v>
          </cell>
          <cell r="L34">
            <v>286912173770</v>
          </cell>
          <cell r="N34">
            <v>107960261520.17</v>
          </cell>
          <cell r="P34">
            <v>33623870939.93</v>
          </cell>
          <cell r="R34">
            <v>6556158181.9300003</v>
          </cell>
          <cell r="U34">
            <v>231467515902.62</v>
          </cell>
          <cell r="W34">
            <v>32856589789.27</v>
          </cell>
          <cell r="Y34">
            <v>20366639483.459999</v>
          </cell>
          <cell r="AA34">
            <v>4726536762.6700001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29460-22F3-4588-89E6-93467AD7430C}">
  <sheetPr>
    <tabColor rgb="FFFFFF00"/>
  </sheetPr>
  <dimension ref="A1:AI38"/>
  <sheetViews>
    <sheetView showGridLines="0" zoomScale="85" zoomScaleNormal="85" workbookViewId="0">
      <pane xSplit="1" topLeftCell="B1" activePane="topRight" state="frozen"/>
      <selection pane="topRight" activeCell="B11" sqref="B11"/>
    </sheetView>
  </sheetViews>
  <sheetFormatPr baseColWidth="10" defaultColWidth="11.42578125" defaultRowHeight="15.75" x14ac:dyDescent="0.25"/>
  <cols>
    <col min="1" max="1" width="54.7109375" style="5" customWidth="1"/>
    <col min="2" max="3" width="20.7109375" style="5" customWidth="1"/>
    <col min="4" max="4" width="11.140625" style="22" customWidth="1"/>
    <col min="5" max="5" width="20" style="5" customWidth="1"/>
    <col min="6" max="6" width="12.140625" style="22" customWidth="1"/>
    <col min="7" max="7" width="21.42578125" style="23" customWidth="1"/>
    <col min="8" max="8" width="23.140625" style="23" customWidth="1"/>
    <col min="9" max="9" width="10.85546875" style="19" customWidth="1"/>
    <col min="10" max="10" width="19.140625" style="5" customWidth="1"/>
    <col min="11" max="11" width="14.42578125" style="17" customWidth="1"/>
    <col min="12" max="12" width="20.28515625" style="5" customWidth="1"/>
    <col min="13" max="13" width="18.85546875" style="5" bestFit="1" customWidth="1"/>
    <col min="14" max="14" width="27.5703125" style="19" customWidth="1"/>
    <col min="15" max="15" width="19.85546875" style="5" customWidth="1"/>
    <col min="16" max="16" width="14.7109375" style="17" customWidth="1"/>
    <col min="17" max="17" width="19.85546875" style="15" customWidth="1"/>
    <col min="18" max="18" width="9" style="15" customWidth="1"/>
    <col min="19" max="19" width="19.42578125" style="24" customWidth="1"/>
    <col min="20" max="20" width="9" style="19" customWidth="1"/>
    <col min="21" max="21" width="18.5703125" style="24" customWidth="1"/>
    <col min="22" max="22" width="9.85546875" style="19" customWidth="1"/>
    <col min="23" max="28" width="18.7109375" style="5" customWidth="1"/>
    <col min="29" max="32" width="17.42578125" style="5" customWidth="1"/>
    <col min="33" max="33" width="26.28515625" style="5" customWidth="1"/>
    <col min="34" max="34" width="22" style="5" customWidth="1"/>
    <col min="35" max="35" width="15.7109375" style="5" bestFit="1" customWidth="1"/>
    <col min="36" max="36" width="12" style="5" bestFit="1" customWidth="1"/>
    <col min="37" max="16384" width="11.42578125" style="5"/>
  </cols>
  <sheetData>
    <row r="1" spans="1:35" ht="15.75" customHeight="1" x14ac:dyDescent="0.25">
      <c r="A1" s="29"/>
      <c r="B1" s="69" t="s">
        <v>0</v>
      </c>
      <c r="C1" s="29"/>
      <c r="D1" s="30"/>
      <c r="E1" s="29"/>
      <c r="F1" s="30"/>
      <c r="G1" s="70" t="s">
        <v>1</v>
      </c>
      <c r="H1" s="89"/>
      <c r="I1" s="31"/>
      <c r="J1" s="32"/>
      <c r="K1" s="31"/>
      <c r="L1" s="71" t="s">
        <v>2</v>
      </c>
      <c r="M1" s="29"/>
      <c r="N1" s="31"/>
      <c r="O1" s="29"/>
      <c r="P1" s="31"/>
      <c r="Q1" s="72" t="s">
        <v>3</v>
      </c>
      <c r="R1" s="72"/>
      <c r="S1" s="32"/>
      <c r="T1" s="31"/>
      <c r="U1" s="3"/>
      <c r="V1" s="4"/>
    </row>
    <row r="2" spans="1:35" ht="31.5" x14ac:dyDescent="0.25">
      <c r="A2" s="6" t="s">
        <v>4</v>
      </c>
      <c r="B2" s="6" t="s">
        <v>5</v>
      </c>
      <c r="C2" s="6" t="s">
        <v>6</v>
      </c>
      <c r="D2" s="7" t="s">
        <v>7</v>
      </c>
      <c r="E2" s="6" t="s">
        <v>8</v>
      </c>
      <c r="F2" s="7" t="s">
        <v>9</v>
      </c>
      <c r="G2" s="8" t="s">
        <v>5</v>
      </c>
      <c r="H2" s="8" t="s">
        <v>6</v>
      </c>
      <c r="I2" s="9" t="s">
        <v>7</v>
      </c>
      <c r="J2" s="9" t="s">
        <v>8</v>
      </c>
      <c r="K2" s="9" t="s">
        <v>9</v>
      </c>
      <c r="L2" s="10" t="s">
        <v>10</v>
      </c>
      <c r="M2" s="10" t="s">
        <v>11</v>
      </c>
      <c r="N2" s="10" t="s">
        <v>9</v>
      </c>
      <c r="O2" s="10" t="s">
        <v>8</v>
      </c>
      <c r="P2" s="10" t="s">
        <v>9</v>
      </c>
      <c r="Q2" s="11" t="s">
        <v>12</v>
      </c>
      <c r="R2" s="11" t="s">
        <v>13</v>
      </c>
      <c r="S2" s="12" t="s">
        <v>6</v>
      </c>
      <c r="T2" s="13" t="s">
        <v>9</v>
      </c>
      <c r="U2" s="12" t="s">
        <v>8</v>
      </c>
      <c r="V2" s="6" t="s">
        <v>9</v>
      </c>
    </row>
    <row r="3" spans="1:35" ht="40.5" customHeight="1" x14ac:dyDescent="0.25">
      <c r="A3" s="33" t="s">
        <v>14</v>
      </c>
      <c r="B3" s="61">
        <v>0</v>
      </c>
      <c r="C3" s="61">
        <v>0</v>
      </c>
      <c r="D3" s="14" t="e">
        <f t="shared" ref="D3:D10" si="0">+C3/B3</f>
        <v>#DIV/0!</v>
      </c>
      <c r="E3" s="61">
        <v>0</v>
      </c>
      <c r="F3" s="14" t="e">
        <f t="shared" ref="F3:F10" si="1">+E3/B3</f>
        <v>#DIV/0!</v>
      </c>
      <c r="G3" s="54">
        <f>96004000000-25000000000</f>
        <v>71004000000</v>
      </c>
      <c r="H3" s="54">
        <v>71004000000</v>
      </c>
      <c r="I3" s="14">
        <f>+H3/G3</f>
        <v>1</v>
      </c>
      <c r="J3" s="61">
        <f>5004000000+6000000000</f>
        <v>11004000000</v>
      </c>
      <c r="K3" s="14">
        <f t="shared" ref="K3:K23" si="2">+J3/G3</f>
        <v>0.15497718438397837</v>
      </c>
      <c r="L3" s="54">
        <v>0</v>
      </c>
      <c r="M3" s="61">
        <v>0</v>
      </c>
      <c r="N3" s="34" t="e">
        <f t="shared" ref="N3:N23" si="3">+M3/L3</f>
        <v>#DIV/0!</v>
      </c>
      <c r="O3" s="61">
        <v>0</v>
      </c>
      <c r="P3" s="14" t="e">
        <f t="shared" ref="P3:P23" si="4">+O3/L3</f>
        <v>#DIV/0!</v>
      </c>
      <c r="Q3" s="54">
        <f>+B3+G3+L3</f>
        <v>71004000000</v>
      </c>
      <c r="R3" s="14">
        <f>+Q3/$Q$23</f>
        <v>0.24582263832688039</v>
      </c>
      <c r="S3" s="54">
        <f t="shared" ref="S3:S16" si="5">+C3+H3+M3</f>
        <v>71004000000</v>
      </c>
      <c r="T3" s="14">
        <f t="shared" ref="T3:T17" si="6">+S3/Q3</f>
        <v>1</v>
      </c>
      <c r="U3" s="61">
        <f>+E3+J3+O3</f>
        <v>11004000000</v>
      </c>
      <c r="V3" s="14">
        <f>+U3/Q3</f>
        <v>0.15497718438397837</v>
      </c>
      <c r="W3" s="78"/>
    </row>
    <row r="4" spans="1:35" ht="31.5" x14ac:dyDescent="0.25">
      <c r="A4" s="33" t="s">
        <v>15</v>
      </c>
      <c r="B4" s="61">
        <v>0</v>
      </c>
      <c r="C4" s="61">
        <v>0</v>
      </c>
      <c r="D4" s="14" t="e">
        <f t="shared" si="0"/>
        <v>#DIV/0!</v>
      </c>
      <c r="E4" s="61">
        <v>0</v>
      </c>
      <c r="F4" s="14" t="e">
        <f t="shared" si="1"/>
        <v>#DIV/0!</v>
      </c>
      <c r="G4" s="54">
        <f>4616701608-1858350804</f>
        <v>2758350804</v>
      </c>
      <c r="H4" s="54">
        <v>2758350804</v>
      </c>
      <c r="I4" s="14">
        <f>+H4/G4</f>
        <v>1</v>
      </c>
      <c r="J4" s="54">
        <v>2758350804</v>
      </c>
      <c r="K4" s="14">
        <f t="shared" si="2"/>
        <v>1</v>
      </c>
      <c r="L4" s="54">
        <v>0</v>
      </c>
      <c r="M4" s="61">
        <v>0</v>
      </c>
      <c r="N4" s="34" t="e">
        <f t="shared" si="3"/>
        <v>#DIV/0!</v>
      </c>
      <c r="O4" s="61">
        <v>0</v>
      </c>
      <c r="P4" s="14" t="e">
        <f t="shared" si="4"/>
        <v>#DIV/0!</v>
      </c>
      <c r="Q4" s="54">
        <f t="shared" ref="Q4:Q16" si="7">+B4+G4+L4</f>
        <v>2758350804</v>
      </c>
      <c r="R4" s="14">
        <f t="shared" ref="R4:R17" si="8">+Q4/$Q$23</f>
        <v>9.5496742728628202E-3</v>
      </c>
      <c r="S4" s="54">
        <f t="shared" si="5"/>
        <v>2758350804</v>
      </c>
      <c r="T4" s="14">
        <f t="shared" si="6"/>
        <v>1</v>
      </c>
      <c r="U4" s="61">
        <f t="shared" ref="U4:U16" si="9">+E4+J4+O4</f>
        <v>2758350804</v>
      </c>
      <c r="V4" s="14">
        <f t="shared" ref="V4:V17" si="10">+U4/Q4</f>
        <v>1</v>
      </c>
      <c r="W4" s="78"/>
    </row>
    <row r="5" spans="1:35" ht="31.5" x14ac:dyDescent="0.25">
      <c r="A5" s="33" t="s">
        <v>16</v>
      </c>
      <c r="B5" s="61">
        <v>0</v>
      </c>
      <c r="C5" s="61">
        <v>0</v>
      </c>
      <c r="D5" s="14" t="e">
        <f t="shared" si="0"/>
        <v>#DIV/0!</v>
      </c>
      <c r="E5" s="61">
        <v>0</v>
      </c>
      <c r="F5" s="14" t="e">
        <f t="shared" si="1"/>
        <v>#DIV/0!</v>
      </c>
      <c r="G5" s="54">
        <v>1000000000</v>
      </c>
      <c r="H5" s="61">
        <v>1000000000</v>
      </c>
      <c r="I5" s="14">
        <f t="shared" ref="I5:I23" si="11">+H5/G5</f>
        <v>1</v>
      </c>
      <c r="J5" s="61">
        <v>1000000000</v>
      </c>
      <c r="K5" s="14">
        <f t="shared" si="2"/>
        <v>1</v>
      </c>
      <c r="L5" s="54">
        <v>0</v>
      </c>
      <c r="M5" s="54">
        <v>0</v>
      </c>
      <c r="N5" s="34" t="e">
        <f t="shared" si="3"/>
        <v>#DIV/0!</v>
      </c>
      <c r="O5" s="54">
        <v>0</v>
      </c>
      <c r="P5" s="14" t="e">
        <f t="shared" si="4"/>
        <v>#DIV/0!</v>
      </c>
      <c r="Q5" s="54">
        <f t="shared" si="7"/>
        <v>1000000000</v>
      </c>
      <c r="R5" s="14">
        <f t="shared" si="8"/>
        <v>3.4620956330189902E-3</v>
      </c>
      <c r="S5" s="54">
        <f t="shared" si="5"/>
        <v>1000000000</v>
      </c>
      <c r="T5" s="14">
        <f t="shared" si="6"/>
        <v>1</v>
      </c>
      <c r="U5" s="61">
        <f t="shared" si="9"/>
        <v>1000000000</v>
      </c>
      <c r="V5" s="14">
        <f t="shared" si="10"/>
        <v>1</v>
      </c>
      <c r="W5" s="78"/>
      <c r="AI5" s="15"/>
    </row>
    <row r="6" spans="1:35" x14ac:dyDescent="0.25">
      <c r="A6" s="33" t="s">
        <v>17</v>
      </c>
      <c r="B6" s="61">
        <v>0</v>
      </c>
      <c r="C6" s="61">
        <v>0</v>
      </c>
      <c r="D6" s="14" t="e">
        <f t="shared" si="0"/>
        <v>#DIV/0!</v>
      </c>
      <c r="E6" s="61">
        <v>0</v>
      </c>
      <c r="F6" s="14" t="e">
        <f t="shared" si="1"/>
        <v>#DIV/0!</v>
      </c>
      <c r="G6" s="54">
        <v>0</v>
      </c>
      <c r="H6" s="61">
        <v>0</v>
      </c>
      <c r="I6" s="14" t="e">
        <f t="shared" si="11"/>
        <v>#DIV/0!</v>
      </c>
      <c r="J6" s="61">
        <v>0</v>
      </c>
      <c r="K6" s="14" t="e">
        <f t="shared" si="2"/>
        <v>#DIV/0!</v>
      </c>
      <c r="L6" s="54">
        <v>80000000000</v>
      </c>
      <c r="M6" s="99">
        <v>92293759139.029999</v>
      </c>
      <c r="N6" s="49">
        <f t="shared" si="3"/>
        <v>1.1536719892378751</v>
      </c>
      <c r="O6" s="99">
        <v>92293759139.029999</v>
      </c>
      <c r="P6" s="14">
        <f t="shared" si="4"/>
        <v>1.1536719892378751</v>
      </c>
      <c r="Q6" s="54">
        <f t="shared" si="7"/>
        <v>80000000000</v>
      </c>
      <c r="R6" s="14">
        <f t="shared" si="8"/>
        <v>0.27696765064151924</v>
      </c>
      <c r="S6" s="54">
        <f t="shared" si="5"/>
        <v>92293759139.029999</v>
      </c>
      <c r="T6" s="14">
        <f t="shared" si="6"/>
        <v>1.1536719892378751</v>
      </c>
      <c r="U6" s="61">
        <f t="shared" si="9"/>
        <v>92293759139.029999</v>
      </c>
      <c r="V6" s="14">
        <f t="shared" si="10"/>
        <v>1.1536719892378751</v>
      </c>
      <c r="W6" s="78"/>
      <c r="AI6" s="15"/>
    </row>
    <row r="7" spans="1:35" x14ac:dyDescent="0.25">
      <c r="A7" s="33" t="s">
        <v>18</v>
      </c>
      <c r="B7" s="61">
        <v>0</v>
      </c>
      <c r="C7" s="61">
        <v>0</v>
      </c>
      <c r="D7" s="14" t="e">
        <f t="shared" si="0"/>
        <v>#DIV/0!</v>
      </c>
      <c r="E7" s="61">
        <v>0</v>
      </c>
      <c r="F7" s="14" t="e">
        <f t="shared" si="1"/>
        <v>#DIV/0!</v>
      </c>
      <c r="G7" s="54">
        <v>0</v>
      </c>
      <c r="H7" s="54">
        <v>0</v>
      </c>
      <c r="I7" s="14" t="e">
        <f t="shared" si="11"/>
        <v>#DIV/0!</v>
      </c>
      <c r="J7" s="54">
        <v>0</v>
      </c>
      <c r="K7" s="14" t="e">
        <f t="shared" si="2"/>
        <v>#DIV/0!</v>
      </c>
      <c r="L7" s="54">
        <v>0</v>
      </c>
      <c r="M7" s="54">
        <v>0</v>
      </c>
      <c r="N7" s="34" t="e">
        <f t="shared" si="3"/>
        <v>#DIV/0!</v>
      </c>
      <c r="O7" s="54">
        <v>0</v>
      </c>
      <c r="P7" s="14" t="e">
        <f t="shared" si="4"/>
        <v>#DIV/0!</v>
      </c>
      <c r="Q7" s="54">
        <f t="shared" si="7"/>
        <v>0</v>
      </c>
      <c r="R7" s="14">
        <f t="shared" si="8"/>
        <v>0</v>
      </c>
      <c r="S7" s="54">
        <f t="shared" si="5"/>
        <v>0</v>
      </c>
      <c r="T7" s="14" t="e">
        <f t="shared" si="6"/>
        <v>#DIV/0!</v>
      </c>
      <c r="U7" s="61">
        <f t="shared" si="9"/>
        <v>0</v>
      </c>
      <c r="V7" s="14"/>
      <c r="W7" s="78"/>
      <c r="AI7" s="15"/>
    </row>
    <row r="8" spans="1:35" x14ac:dyDescent="0.25">
      <c r="A8" s="33" t="s">
        <v>19</v>
      </c>
      <c r="B8" s="61">
        <v>0</v>
      </c>
      <c r="C8" s="61">
        <v>0</v>
      </c>
      <c r="D8" s="14" t="e">
        <f t="shared" si="0"/>
        <v>#DIV/0!</v>
      </c>
      <c r="E8" s="61">
        <v>0</v>
      </c>
      <c r="F8" s="14" t="e">
        <f t="shared" si="1"/>
        <v>#DIV/0!</v>
      </c>
      <c r="G8" s="54"/>
      <c r="H8" s="54">
        <v>2211098294</v>
      </c>
      <c r="I8" s="14" t="e">
        <f t="shared" si="11"/>
        <v>#DIV/0!</v>
      </c>
      <c r="J8" s="54">
        <v>2211098294</v>
      </c>
      <c r="K8" s="14" t="e">
        <f t="shared" si="2"/>
        <v>#DIV/0!</v>
      </c>
      <c r="L8" s="54"/>
      <c r="M8" s="54"/>
      <c r="N8" s="34"/>
      <c r="O8" s="54"/>
      <c r="P8" s="14" t="e">
        <f t="shared" si="4"/>
        <v>#DIV/0!</v>
      </c>
      <c r="Q8" s="54">
        <f t="shared" si="7"/>
        <v>0</v>
      </c>
      <c r="R8" s="14">
        <f t="shared" si="8"/>
        <v>0</v>
      </c>
      <c r="S8" s="54">
        <f t="shared" si="5"/>
        <v>2211098294</v>
      </c>
      <c r="T8" s="14" t="e">
        <f t="shared" si="6"/>
        <v>#DIV/0!</v>
      </c>
      <c r="U8" s="54">
        <f t="shared" si="9"/>
        <v>2211098294</v>
      </c>
      <c r="V8" s="14"/>
      <c r="W8" s="78"/>
      <c r="AI8" s="15"/>
    </row>
    <row r="9" spans="1:35" x14ac:dyDescent="0.25">
      <c r="A9" s="33" t="s">
        <v>20</v>
      </c>
      <c r="B9" s="61">
        <v>0</v>
      </c>
      <c r="C9" s="61">
        <v>0</v>
      </c>
      <c r="D9" s="14" t="e">
        <f t="shared" si="0"/>
        <v>#DIV/0!</v>
      </c>
      <c r="E9" s="61">
        <v>0</v>
      </c>
      <c r="F9" s="14" t="e">
        <f t="shared" si="1"/>
        <v>#DIV/0!</v>
      </c>
      <c r="G9" s="54">
        <v>2767751161</v>
      </c>
      <c r="H9" s="54">
        <v>2767751161</v>
      </c>
      <c r="I9" s="14">
        <f t="shared" si="11"/>
        <v>1</v>
      </c>
      <c r="J9" s="54">
        <v>2767751161</v>
      </c>
      <c r="K9" s="14">
        <f t="shared" si="2"/>
        <v>1</v>
      </c>
      <c r="L9" s="54">
        <v>0</v>
      </c>
      <c r="M9" s="61">
        <v>0</v>
      </c>
      <c r="N9" s="34" t="e">
        <f>+M9/L9</f>
        <v>#DIV/0!</v>
      </c>
      <c r="O9" s="61">
        <v>0</v>
      </c>
      <c r="P9" s="14" t="e">
        <f t="shared" si="4"/>
        <v>#DIV/0!</v>
      </c>
      <c r="Q9" s="54">
        <f t="shared" si="7"/>
        <v>2767751161</v>
      </c>
      <c r="R9" s="14">
        <f t="shared" si="8"/>
        <v>9.5822192077813402E-3</v>
      </c>
      <c r="S9" s="54">
        <f t="shared" si="5"/>
        <v>2767751161</v>
      </c>
      <c r="T9" s="14">
        <f t="shared" si="6"/>
        <v>1</v>
      </c>
      <c r="U9" s="54">
        <f t="shared" si="9"/>
        <v>2767751161</v>
      </c>
      <c r="V9" s="14">
        <f t="shared" si="10"/>
        <v>1</v>
      </c>
      <c r="W9" s="78"/>
    </row>
    <row r="10" spans="1:35" x14ac:dyDescent="0.25">
      <c r="A10" s="79" t="s">
        <v>21</v>
      </c>
      <c r="B10" s="80">
        <v>0</v>
      </c>
      <c r="C10" s="80">
        <v>0</v>
      </c>
      <c r="D10" s="81" t="e">
        <f t="shared" si="0"/>
        <v>#DIV/0!</v>
      </c>
      <c r="E10" s="80">
        <v>0</v>
      </c>
      <c r="F10" s="82" t="e">
        <f t="shared" si="1"/>
        <v>#DIV/0!</v>
      </c>
      <c r="G10" s="83">
        <v>101430000</v>
      </c>
      <c r="H10" s="83">
        <v>53320251</v>
      </c>
      <c r="I10" s="81">
        <f t="shared" si="11"/>
        <v>0.52568521147589475</v>
      </c>
      <c r="J10" s="83">
        <v>53320251</v>
      </c>
      <c r="K10" s="84">
        <f t="shared" si="2"/>
        <v>0.52568521147589475</v>
      </c>
      <c r="L10" s="85">
        <v>12833999.999999998</v>
      </c>
      <c r="M10" s="85">
        <v>10890427</v>
      </c>
      <c r="N10" s="81">
        <f t="shared" si="3"/>
        <v>0.84856062022752077</v>
      </c>
      <c r="O10" s="85">
        <v>10890427</v>
      </c>
      <c r="P10" s="81">
        <f t="shared" si="4"/>
        <v>0.84856062022752077</v>
      </c>
      <c r="Q10" s="85">
        <f t="shared" si="7"/>
        <v>114264000</v>
      </c>
      <c r="R10" s="96">
        <f t="shared" si="8"/>
        <v>3.9559289541128191E-4</v>
      </c>
      <c r="S10" s="80">
        <f t="shared" si="5"/>
        <v>64210678</v>
      </c>
      <c r="T10" s="81">
        <f t="shared" si="6"/>
        <v>0.56195020303857735</v>
      </c>
      <c r="U10" s="80">
        <f t="shared" si="9"/>
        <v>64210678</v>
      </c>
      <c r="V10" s="81">
        <f t="shared" si="10"/>
        <v>0.56195020303857735</v>
      </c>
      <c r="W10" s="78"/>
      <c r="X10" s="15"/>
    </row>
    <row r="11" spans="1:35" x14ac:dyDescent="0.25">
      <c r="A11" s="79" t="s">
        <v>22</v>
      </c>
      <c r="B11" s="109">
        <f>408730208+194101204-44607800</f>
        <v>558223612</v>
      </c>
      <c r="C11" s="106">
        <v>558223612</v>
      </c>
      <c r="D11" s="81">
        <f>+C11/B11</f>
        <v>1</v>
      </c>
      <c r="E11" s="106">
        <v>558223612</v>
      </c>
      <c r="F11" s="81">
        <f>+E11/B11</f>
        <v>1</v>
      </c>
      <c r="G11" s="83">
        <v>0</v>
      </c>
      <c r="H11" s="83">
        <v>0</v>
      </c>
      <c r="I11" s="86" t="e">
        <f t="shared" si="11"/>
        <v>#DIV/0!</v>
      </c>
      <c r="J11" s="83">
        <v>0</v>
      </c>
      <c r="K11" s="84" t="e">
        <f t="shared" si="2"/>
        <v>#DIV/0!</v>
      </c>
      <c r="L11" s="85">
        <v>0</v>
      </c>
      <c r="M11" s="85">
        <v>0</v>
      </c>
      <c r="N11" s="81"/>
      <c r="O11" s="85">
        <v>0</v>
      </c>
      <c r="P11" s="81" t="e">
        <f t="shared" si="4"/>
        <v>#DIV/0!</v>
      </c>
      <c r="Q11" s="85">
        <f t="shared" si="7"/>
        <v>558223612</v>
      </c>
      <c r="R11" s="95">
        <f t="shared" si="8"/>
        <v>1.9326235293532872E-3</v>
      </c>
      <c r="S11" s="85">
        <f t="shared" si="5"/>
        <v>558223612</v>
      </c>
      <c r="T11" s="81">
        <f t="shared" si="6"/>
        <v>1</v>
      </c>
      <c r="U11" s="80">
        <f t="shared" si="9"/>
        <v>558223612</v>
      </c>
      <c r="V11" s="81">
        <f t="shared" si="10"/>
        <v>1</v>
      </c>
      <c r="W11" s="78"/>
      <c r="X11" s="15"/>
    </row>
    <row r="12" spans="1:35" x14ac:dyDescent="0.25">
      <c r="A12" s="79" t="s">
        <v>23</v>
      </c>
      <c r="B12" s="80">
        <v>203166366</v>
      </c>
      <c r="C12" s="80">
        <v>203166366</v>
      </c>
      <c r="D12" s="81">
        <f t="shared" ref="D12:D17" si="12">+C12/B12</f>
        <v>1</v>
      </c>
      <c r="E12" s="80">
        <v>203166366</v>
      </c>
      <c r="F12" s="82">
        <f t="shared" ref="F12:F23" si="13">+E12/B12</f>
        <v>1</v>
      </c>
      <c r="G12" s="83">
        <v>8140006674</v>
      </c>
      <c r="H12" s="83">
        <v>8140006674</v>
      </c>
      <c r="I12" s="86">
        <f t="shared" si="11"/>
        <v>1</v>
      </c>
      <c r="J12" s="83">
        <v>8140006674</v>
      </c>
      <c r="K12" s="81">
        <f t="shared" si="2"/>
        <v>1</v>
      </c>
      <c r="L12" s="85">
        <v>10044057694</v>
      </c>
      <c r="M12" s="85">
        <v>10044057694</v>
      </c>
      <c r="N12" s="81">
        <f t="shared" si="3"/>
        <v>1</v>
      </c>
      <c r="O12" s="85">
        <v>10044057694</v>
      </c>
      <c r="P12" s="81">
        <f t="shared" si="4"/>
        <v>1</v>
      </c>
      <c r="Q12" s="85">
        <f t="shared" si="7"/>
        <v>18387230734</v>
      </c>
      <c r="R12" s="95">
        <f t="shared" si="8"/>
        <v>6.3658351227493956E-2</v>
      </c>
      <c r="S12" s="85">
        <f t="shared" si="5"/>
        <v>18387230734</v>
      </c>
      <c r="T12" s="81">
        <f t="shared" si="6"/>
        <v>1</v>
      </c>
      <c r="U12" s="80">
        <f t="shared" si="9"/>
        <v>18387230734</v>
      </c>
      <c r="V12" s="81">
        <f t="shared" si="10"/>
        <v>1</v>
      </c>
      <c r="W12" s="78"/>
      <c r="X12" s="15"/>
    </row>
    <row r="13" spans="1:35" ht="21" customHeight="1" x14ac:dyDescent="0.25">
      <c r="A13" s="33" t="s">
        <v>24</v>
      </c>
      <c r="B13" s="61">
        <v>0</v>
      </c>
      <c r="C13" s="61">
        <v>0</v>
      </c>
      <c r="D13" s="14" t="e">
        <f t="shared" si="12"/>
        <v>#DIV/0!</v>
      </c>
      <c r="E13" s="61">
        <v>0</v>
      </c>
      <c r="F13" s="14" t="e">
        <f t="shared" si="13"/>
        <v>#DIV/0!</v>
      </c>
      <c r="G13" s="54">
        <f>58040058231+3287492700</f>
        <v>61327550931</v>
      </c>
      <c r="H13" s="54">
        <f>58040058231+3287492700</f>
        <v>61327550931</v>
      </c>
      <c r="I13" s="14">
        <f t="shared" si="11"/>
        <v>1</v>
      </c>
      <c r="J13" s="54">
        <f>58040058231+3287492700</f>
        <v>61327550931</v>
      </c>
      <c r="K13" s="14">
        <f t="shared" si="2"/>
        <v>1</v>
      </c>
      <c r="L13" s="54">
        <f>23894848032+1395783713</f>
        <v>25290631745</v>
      </c>
      <c r="M13" s="54">
        <f>23894848032+1395783713</f>
        <v>25290631745</v>
      </c>
      <c r="N13" s="35">
        <f t="shared" si="3"/>
        <v>1</v>
      </c>
      <c r="O13" s="54">
        <f>23894848032+1395783713</f>
        <v>25290631745</v>
      </c>
      <c r="P13" s="45">
        <f t="shared" si="4"/>
        <v>1</v>
      </c>
      <c r="Q13" s="55">
        <f t="shared" si="7"/>
        <v>86618182676</v>
      </c>
      <c r="R13" s="42">
        <f t="shared" si="8"/>
        <v>0.29988043198262077</v>
      </c>
      <c r="S13" s="56">
        <f t="shared" si="5"/>
        <v>86618182676</v>
      </c>
      <c r="T13" s="35">
        <f t="shared" si="6"/>
        <v>1</v>
      </c>
      <c r="U13" s="62">
        <f t="shared" si="9"/>
        <v>86618182676</v>
      </c>
      <c r="V13" s="35">
        <f t="shared" si="10"/>
        <v>1</v>
      </c>
      <c r="W13" s="78"/>
      <c r="X13" s="15"/>
    </row>
    <row r="14" spans="1:35" x14ac:dyDescent="0.25">
      <c r="A14" s="79" t="s">
        <v>25</v>
      </c>
      <c r="B14" s="80">
        <v>0</v>
      </c>
      <c r="C14" s="80">
        <v>0</v>
      </c>
      <c r="D14" s="81" t="e">
        <f t="shared" si="12"/>
        <v>#DIV/0!</v>
      </c>
      <c r="E14" s="80">
        <v>0</v>
      </c>
      <c r="F14" s="82" t="e">
        <f t="shared" si="13"/>
        <v>#DIV/0!</v>
      </c>
      <c r="G14" s="83">
        <v>7408048524</v>
      </c>
      <c r="H14" s="83">
        <v>7408048524</v>
      </c>
      <c r="I14" s="81">
        <f t="shared" si="11"/>
        <v>1</v>
      </c>
      <c r="J14" s="83">
        <v>7408048524</v>
      </c>
      <c r="K14" s="84">
        <f t="shared" si="2"/>
        <v>1</v>
      </c>
      <c r="L14" s="85">
        <v>0</v>
      </c>
      <c r="M14" s="85">
        <v>0</v>
      </c>
      <c r="N14" s="81" t="e">
        <f t="shared" si="3"/>
        <v>#DIV/0!</v>
      </c>
      <c r="O14" s="85">
        <v>0</v>
      </c>
      <c r="P14" s="81" t="e">
        <f t="shared" si="4"/>
        <v>#DIV/0!</v>
      </c>
      <c r="Q14" s="85">
        <f t="shared" si="7"/>
        <v>7408048524</v>
      </c>
      <c r="R14" s="81">
        <f t="shared" si="8"/>
        <v>2.5647372444133176E-2</v>
      </c>
      <c r="S14" s="80">
        <f t="shared" si="5"/>
        <v>7408048524</v>
      </c>
      <c r="T14" s="81">
        <f t="shared" si="6"/>
        <v>1</v>
      </c>
      <c r="U14" s="80">
        <f t="shared" si="9"/>
        <v>7408048524</v>
      </c>
      <c r="V14" s="81">
        <f t="shared" si="10"/>
        <v>1</v>
      </c>
      <c r="W14" s="78"/>
      <c r="X14" s="15"/>
    </row>
    <row r="15" spans="1:35" x14ac:dyDescent="0.25">
      <c r="A15" s="79" t="s">
        <v>26</v>
      </c>
      <c r="B15" s="80">
        <v>0</v>
      </c>
      <c r="C15" s="80">
        <v>0</v>
      </c>
      <c r="D15" s="81" t="e">
        <f t="shared" si="12"/>
        <v>#DIV/0!</v>
      </c>
      <c r="E15" s="80">
        <v>0</v>
      </c>
      <c r="F15" s="82" t="e">
        <f t="shared" si="13"/>
        <v>#DIV/0!</v>
      </c>
      <c r="G15" s="83">
        <v>393819065</v>
      </c>
      <c r="H15" s="83">
        <v>393819065</v>
      </c>
      <c r="I15" s="81">
        <f t="shared" si="11"/>
        <v>1</v>
      </c>
      <c r="J15" s="83">
        <v>393819065</v>
      </c>
      <c r="K15" s="84">
        <f t="shared" si="2"/>
        <v>1</v>
      </c>
      <c r="L15" s="85">
        <v>895111503</v>
      </c>
      <c r="M15" s="85">
        <v>895111503</v>
      </c>
      <c r="N15" s="87">
        <f t="shared" si="3"/>
        <v>1</v>
      </c>
      <c r="O15" s="88">
        <v>895111503</v>
      </c>
      <c r="P15" s="87">
        <f t="shared" si="4"/>
        <v>1</v>
      </c>
      <c r="Q15" s="88">
        <f t="shared" si="7"/>
        <v>1288930568</v>
      </c>
      <c r="R15" s="97">
        <f t="shared" si="8"/>
        <v>4.4624008907374864E-3</v>
      </c>
      <c r="S15" s="80">
        <f t="shared" si="5"/>
        <v>1288930568</v>
      </c>
      <c r="T15" s="87">
        <f t="shared" si="6"/>
        <v>1</v>
      </c>
      <c r="U15" s="80">
        <f t="shared" si="9"/>
        <v>1288930568</v>
      </c>
      <c r="V15" s="81">
        <f t="shared" si="10"/>
        <v>1</v>
      </c>
      <c r="W15" s="78"/>
      <c r="X15" s="15"/>
    </row>
    <row r="16" spans="1:35" x14ac:dyDescent="0.25">
      <c r="A16" s="79" t="s">
        <v>27</v>
      </c>
      <c r="B16" s="80">
        <v>0</v>
      </c>
      <c r="C16" s="80">
        <v>0</v>
      </c>
      <c r="D16" s="81" t="e">
        <f t="shared" si="12"/>
        <v>#DIV/0!</v>
      </c>
      <c r="E16" s="80">
        <v>0</v>
      </c>
      <c r="F16" s="82" t="e">
        <f t="shared" si="13"/>
        <v>#DIV/0!</v>
      </c>
      <c r="G16" s="83">
        <v>1380000000</v>
      </c>
      <c r="H16" s="83">
        <v>1380000000</v>
      </c>
      <c r="I16" s="81">
        <f t="shared" si="11"/>
        <v>1</v>
      </c>
      <c r="J16" s="83">
        <v>1380000000</v>
      </c>
      <c r="K16" s="84">
        <f t="shared" si="2"/>
        <v>1</v>
      </c>
      <c r="L16" s="85">
        <v>22967794</v>
      </c>
      <c r="M16" s="85">
        <v>22967794</v>
      </c>
      <c r="N16" s="87">
        <f t="shared" si="3"/>
        <v>1</v>
      </c>
      <c r="O16" s="88">
        <v>22967794</v>
      </c>
      <c r="P16" s="87">
        <f t="shared" si="4"/>
        <v>1</v>
      </c>
      <c r="Q16" s="88">
        <f t="shared" si="7"/>
        <v>1402967794</v>
      </c>
      <c r="R16" s="97">
        <f t="shared" si="8"/>
        <v>4.8572086728736865E-3</v>
      </c>
      <c r="S16" s="80">
        <f t="shared" si="5"/>
        <v>1402967794</v>
      </c>
      <c r="T16" s="87">
        <f t="shared" si="6"/>
        <v>1</v>
      </c>
      <c r="U16" s="80">
        <f t="shared" si="9"/>
        <v>1402967794</v>
      </c>
      <c r="V16" s="81">
        <f t="shared" si="10"/>
        <v>1</v>
      </c>
      <c r="W16" s="78"/>
      <c r="X16" s="15"/>
    </row>
    <row r="17" spans="1:34" ht="21" customHeight="1" x14ac:dyDescent="0.25">
      <c r="A17" s="6" t="s">
        <v>28</v>
      </c>
      <c r="B17" s="50">
        <f>SUM(B3:B16)</f>
        <v>761389978</v>
      </c>
      <c r="C17" s="50">
        <f>SUM(C3:C14)</f>
        <v>761389978</v>
      </c>
      <c r="D17" s="7">
        <f t="shared" si="12"/>
        <v>1</v>
      </c>
      <c r="E17" s="50">
        <f>SUM(E3:E16)</f>
        <v>761389978</v>
      </c>
      <c r="F17" s="7">
        <f t="shared" si="13"/>
        <v>1</v>
      </c>
      <c r="G17" s="73">
        <f>SUM(G3:G16)</f>
        <v>156280957159</v>
      </c>
      <c r="H17" s="73">
        <f>SUM(H3:H16)</f>
        <v>158443945704</v>
      </c>
      <c r="I17" s="38">
        <f t="shared" si="11"/>
        <v>1.0138403845504951</v>
      </c>
      <c r="J17" s="73">
        <f>SUM(J3:J16)</f>
        <v>98443945704</v>
      </c>
      <c r="K17" s="38">
        <f t="shared" si="2"/>
        <v>0.62991644979396488</v>
      </c>
      <c r="L17" s="67">
        <f>SUM(L3:L16)</f>
        <v>116265602736</v>
      </c>
      <c r="M17" s="67">
        <f>SUM(M3:M16)</f>
        <v>128557418302.03</v>
      </c>
      <c r="N17" s="46">
        <f t="shared" si="3"/>
        <v>1.105721858200319</v>
      </c>
      <c r="O17" s="64">
        <f>SUM(O3:O16)</f>
        <v>128557418302.03</v>
      </c>
      <c r="P17" s="46">
        <f t="shared" si="4"/>
        <v>1.105721858200319</v>
      </c>
      <c r="Q17" s="57">
        <f>SUM(Q3:Q16)</f>
        <v>273307949873</v>
      </c>
      <c r="R17" s="36">
        <f t="shared" si="8"/>
        <v>0.94621825972468643</v>
      </c>
      <c r="S17" s="57">
        <f>SUM(S3:S16)</f>
        <v>287762753984.03003</v>
      </c>
      <c r="T17" s="36">
        <f t="shared" si="6"/>
        <v>1.0528883412200298</v>
      </c>
      <c r="U17" s="57">
        <f>SUM(U3:U16)</f>
        <v>227762753984.03</v>
      </c>
      <c r="V17" s="36">
        <f t="shared" si="10"/>
        <v>0.83335575891541458</v>
      </c>
      <c r="W17" s="78"/>
      <c r="X17" s="15"/>
    </row>
    <row r="18" spans="1:34" x14ac:dyDescent="0.25">
      <c r="A18" s="16"/>
      <c r="B18" s="74"/>
      <c r="C18" s="74"/>
      <c r="D18" s="39"/>
      <c r="E18" s="74"/>
      <c r="F18" s="39"/>
      <c r="G18" s="24"/>
      <c r="H18" s="24"/>
      <c r="I18" s="22"/>
      <c r="J18" s="24"/>
      <c r="K18" s="25"/>
      <c r="L18" s="24"/>
      <c r="M18" s="68"/>
      <c r="N18" s="27"/>
      <c r="O18" s="24"/>
      <c r="P18" s="25"/>
      <c r="Q18" s="24"/>
      <c r="R18" s="22"/>
      <c r="T18" s="22"/>
      <c r="W18" s="78"/>
      <c r="AH18" s="20"/>
    </row>
    <row r="19" spans="1:34" ht="31.5" x14ac:dyDescent="0.25">
      <c r="A19" s="21" t="s">
        <v>29</v>
      </c>
      <c r="B19" s="58">
        <v>0</v>
      </c>
      <c r="C19" s="75">
        <v>0</v>
      </c>
      <c r="D19" s="28" t="e">
        <f>+C19/B19</f>
        <v>#DIV/0!</v>
      </c>
      <c r="E19" s="75">
        <v>0</v>
      </c>
      <c r="F19" s="41" t="e">
        <f t="shared" si="13"/>
        <v>#DIV/0!</v>
      </c>
      <c r="G19" s="51">
        <f>838138920+271774365</f>
        <v>1109913285</v>
      </c>
      <c r="H19" s="52">
        <f>271774365+685075258</f>
        <v>956849623</v>
      </c>
      <c r="I19" s="49">
        <f t="shared" si="11"/>
        <v>0.8620940355714366</v>
      </c>
      <c r="J19" s="52">
        <v>956849623</v>
      </c>
      <c r="K19" s="14">
        <f t="shared" si="2"/>
        <v>0.8620940355714366</v>
      </c>
      <c r="L19" s="54">
        <v>0</v>
      </c>
      <c r="M19" s="61">
        <v>0</v>
      </c>
      <c r="N19" s="34" t="e">
        <f t="shared" si="3"/>
        <v>#DIV/0!</v>
      </c>
      <c r="O19" s="61">
        <v>0</v>
      </c>
      <c r="P19" s="47" t="e">
        <f t="shared" si="4"/>
        <v>#DIV/0!</v>
      </c>
      <c r="Q19" s="90">
        <f>+B19+G19+L19</f>
        <v>1109913285</v>
      </c>
      <c r="R19" s="98">
        <f>+Q19/$Q$23</f>
        <v>3.842625937028262E-3</v>
      </c>
      <c r="S19" s="59">
        <f>+C19+H19+M19</f>
        <v>956849623</v>
      </c>
      <c r="T19" s="14">
        <f>+S19/Q19</f>
        <v>0.8620940355714366</v>
      </c>
      <c r="U19" s="54">
        <f>+E19+J19+O19</f>
        <v>956849623</v>
      </c>
      <c r="V19" s="14">
        <f>+U19/Q19</f>
        <v>0.8620940355714366</v>
      </c>
      <c r="W19" s="78"/>
    </row>
    <row r="20" spans="1:34" ht="31.5" x14ac:dyDescent="0.25">
      <c r="A20" s="21" t="s">
        <v>24</v>
      </c>
      <c r="B20" s="58">
        <v>0</v>
      </c>
      <c r="C20" s="75">
        <v>0</v>
      </c>
      <c r="D20" s="37" t="e">
        <f>+C20/B20</f>
        <v>#DIV/0!</v>
      </c>
      <c r="E20" s="24"/>
      <c r="F20" s="41" t="e">
        <f t="shared" si="13"/>
        <v>#DIV/0!</v>
      </c>
      <c r="G20" s="51">
        <f>14276946102+147587369</f>
        <v>14424533471</v>
      </c>
      <c r="H20" s="51">
        <f>14276946102+147587369</f>
        <v>14424533471</v>
      </c>
      <c r="I20" s="14">
        <f t="shared" si="11"/>
        <v>1</v>
      </c>
      <c r="J20" s="51">
        <f>14276946102+147587369</f>
        <v>14424533471</v>
      </c>
      <c r="K20" s="14">
        <f t="shared" si="2"/>
        <v>1</v>
      </c>
      <c r="L20" s="54">
        <v>0</v>
      </c>
      <c r="M20" s="61">
        <v>0</v>
      </c>
      <c r="N20" s="34" t="e">
        <f t="shared" si="3"/>
        <v>#DIV/0!</v>
      </c>
      <c r="O20" s="61">
        <v>0</v>
      </c>
      <c r="P20" s="47" t="e">
        <f t="shared" si="4"/>
        <v>#DIV/0!</v>
      </c>
      <c r="Q20" s="90">
        <f>+B20+G20+L20</f>
        <v>14424533471</v>
      </c>
      <c r="R20" s="93">
        <f>+Q20/$Q$23</f>
        <v>4.9939114338285358E-2</v>
      </c>
      <c r="S20" s="59">
        <f>+C20+H20+M20</f>
        <v>14424533471</v>
      </c>
      <c r="T20" s="14">
        <f>+S20/Q20</f>
        <v>1</v>
      </c>
      <c r="U20" s="54">
        <v>14424533471</v>
      </c>
      <c r="V20" s="14">
        <f>+U20/Q20</f>
        <v>1</v>
      </c>
      <c r="W20" s="78"/>
    </row>
    <row r="21" spans="1:34" x14ac:dyDescent="0.25">
      <c r="A21" s="6" t="s">
        <v>30</v>
      </c>
      <c r="B21" s="60">
        <f>SUM(B19:B20)</f>
        <v>0</v>
      </c>
      <c r="C21" s="60">
        <f>SUM(C19:C20)</f>
        <v>0</v>
      </c>
      <c r="D21" s="40" t="e">
        <f>+C21/B21</f>
        <v>#DIV/0!</v>
      </c>
      <c r="E21" s="60">
        <v>0</v>
      </c>
      <c r="F21" s="40" t="e">
        <f t="shared" si="13"/>
        <v>#DIV/0!</v>
      </c>
      <c r="G21" s="73">
        <f>+G19+G20</f>
        <v>15534446756</v>
      </c>
      <c r="H21" s="73">
        <f>+H19+H20</f>
        <v>15381383094</v>
      </c>
      <c r="I21" s="38">
        <f t="shared" si="11"/>
        <v>0.99014682245179531</v>
      </c>
      <c r="J21" s="73">
        <f>+J19+J20</f>
        <v>15381383094</v>
      </c>
      <c r="K21" s="38">
        <f t="shared" si="2"/>
        <v>0.99014682245179531</v>
      </c>
      <c r="L21" s="67">
        <f>SUM(L19:L20)</f>
        <v>0</v>
      </c>
      <c r="M21" s="67">
        <f>SUM(M19:M20)</f>
        <v>0</v>
      </c>
      <c r="N21" s="26" t="e">
        <f t="shared" si="3"/>
        <v>#DIV/0!</v>
      </c>
      <c r="O21" s="65">
        <f>SUM(O19:O20)</f>
        <v>0</v>
      </c>
      <c r="P21" s="48" t="e">
        <f t="shared" si="4"/>
        <v>#DIV/0!</v>
      </c>
      <c r="Q21" s="91">
        <f>SUM(Q19:Q20)</f>
        <v>15534446756</v>
      </c>
      <c r="R21" s="94">
        <f>+Q21/$Q$23</f>
        <v>5.3781740275313621E-2</v>
      </c>
      <c r="S21" s="92">
        <f>SUM(S19:S20)</f>
        <v>15381383094</v>
      </c>
      <c r="T21" s="7">
        <f>+S21/Q21</f>
        <v>0.99014682245179531</v>
      </c>
      <c r="U21" s="63">
        <f>SUM(U19:U20)</f>
        <v>15381383094</v>
      </c>
      <c r="V21" s="7">
        <f>+U21/Q21</f>
        <v>0.99014682245179531</v>
      </c>
      <c r="W21" s="78"/>
    </row>
    <row r="22" spans="1:34" x14ac:dyDescent="0.25">
      <c r="A22" s="16"/>
      <c r="B22" s="2"/>
      <c r="C22" s="53"/>
      <c r="D22" s="42"/>
      <c r="E22" s="53"/>
      <c r="F22" s="43"/>
      <c r="G22" s="66"/>
      <c r="H22" s="66"/>
      <c r="I22" s="42"/>
      <c r="J22" s="66"/>
      <c r="K22" s="42"/>
      <c r="L22" s="53"/>
      <c r="M22" s="66"/>
      <c r="N22" s="44"/>
      <c r="O22" s="66"/>
      <c r="P22" s="42"/>
      <c r="Q22" s="2"/>
      <c r="R22" s="1"/>
      <c r="S22" s="53"/>
      <c r="T22" s="42"/>
      <c r="U22" s="53"/>
      <c r="V22" s="42"/>
      <c r="W22" s="78"/>
    </row>
    <row r="23" spans="1:34" x14ac:dyDescent="0.25">
      <c r="A23" s="6" t="s">
        <v>31</v>
      </c>
      <c r="B23" s="60">
        <f t="shared" ref="B23:U23" si="14">+B21+B17</f>
        <v>761389978</v>
      </c>
      <c r="C23" s="60">
        <f t="shared" si="14"/>
        <v>761389978</v>
      </c>
      <c r="D23" s="40">
        <f>+C23/B23</f>
        <v>1</v>
      </c>
      <c r="E23" s="76">
        <f t="shared" si="14"/>
        <v>761389978</v>
      </c>
      <c r="F23" s="40">
        <f t="shared" si="13"/>
        <v>1</v>
      </c>
      <c r="G23" s="73">
        <f t="shared" si="14"/>
        <v>171815403915</v>
      </c>
      <c r="H23" s="73">
        <f t="shared" si="14"/>
        <v>173825328798</v>
      </c>
      <c r="I23" s="38">
        <f t="shared" si="11"/>
        <v>1.0116981646418288</v>
      </c>
      <c r="J23" s="73">
        <f t="shared" si="14"/>
        <v>113825328798</v>
      </c>
      <c r="K23" s="38">
        <f t="shared" si="2"/>
        <v>0.66248616948403138</v>
      </c>
      <c r="L23" s="67">
        <f t="shared" si="14"/>
        <v>116265602736</v>
      </c>
      <c r="M23" s="67">
        <f t="shared" si="14"/>
        <v>128557418302.03</v>
      </c>
      <c r="N23" s="48">
        <f t="shared" si="3"/>
        <v>1.105721858200319</v>
      </c>
      <c r="O23" s="77">
        <f t="shared" si="14"/>
        <v>128557418302.03</v>
      </c>
      <c r="P23" s="48">
        <f t="shared" si="4"/>
        <v>1.105721858200319</v>
      </c>
      <c r="Q23" s="60">
        <f t="shared" si="14"/>
        <v>288842396629</v>
      </c>
      <c r="R23" s="40">
        <f>+Q23/$Q$23</f>
        <v>1</v>
      </c>
      <c r="S23" s="50">
        <f t="shared" si="14"/>
        <v>303144137078.03003</v>
      </c>
      <c r="T23" s="7">
        <f>+S23/Q23</f>
        <v>1.0495139931531579</v>
      </c>
      <c r="U23" s="77">
        <f t="shared" si="14"/>
        <v>243144137078.03</v>
      </c>
      <c r="V23" s="7">
        <f>+U23/Q23</f>
        <v>0.84178825517201838</v>
      </c>
      <c r="W23" s="78"/>
    </row>
    <row r="24" spans="1:34" x14ac:dyDescent="0.25">
      <c r="W24" s="78"/>
    </row>
    <row r="25" spans="1:34" x14ac:dyDescent="0.25">
      <c r="B25" s="102"/>
      <c r="C25" s="102"/>
      <c r="D25" s="102"/>
      <c r="E25" s="102"/>
      <c r="F25" s="103"/>
      <c r="G25" s="104">
        <f>+G10+G11+G12+G14+G15+G16</f>
        <v>17423304263</v>
      </c>
      <c r="H25" s="104">
        <f t="shared" ref="H25:O25" si="15">+H10+H11+H12+H14+H15+H16</f>
        <v>17375194514</v>
      </c>
      <c r="I25" s="104"/>
      <c r="J25" s="104">
        <f t="shared" si="15"/>
        <v>17375194514</v>
      </c>
      <c r="K25" s="104"/>
      <c r="L25" s="100">
        <f t="shared" si="15"/>
        <v>10974970991</v>
      </c>
      <c r="M25" s="100">
        <f t="shared" si="15"/>
        <v>10973027418</v>
      </c>
      <c r="N25" s="101"/>
      <c r="O25" s="100">
        <f t="shared" si="15"/>
        <v>10973027418</v>
      </c>
      <c r="P25" s="105"/>
      <c r="Q25" s="100">
        <f>+Q10+Q11+Q12+Q14+Q15+Q16</f>
        <v>29159665232</v>
      </c>
      <c r="R25" s="100"/>
      <c r="S25" s="100">
        <f>+S10+S11+S12+S14+S15+S16</f>
        <v>29109611910</v>
      </c>
      <c r="T25" s="100"/>
      <c r="U25" s="100">
        <f>+U10+U11+U12+U14+U15+U16</f>
        <v>29109611910</v>
      </c>
      <c r="V25" s="100"/>
      <c r="W25" s="78"/>
    </row>
    <row r="26" spans="1:34" x14ac:dyDescent="0.25">
      <c r="I26" s="23"/>
      <c r="J26" s="23"/>
      <c r="K26" s="23"/>
      <c r="L26" s="23"/>
      <c r="M26" s="23"/>
      <c r="N26" s="23"/>
      <c r="O26" s="23"/>
      <c r="P26" s="23"/>
    </row>
    <row r="29" spans="1:34" x14ac:dyDescent="0.25">
      <c r="L29" s="18">
        <v>114869819023</v>
      </c>
      <c r="M29" s="20">
        <f>M6+M12+M13-L30</f>
        <v>127163578162.03</v>
      </c>
    </row>
    <row r="30" spans="1:34" x14ac:dyDescent="0.25">
      <c r="C30" s="78"/>
      <c r="E30" s="107">
        <v>17843120</v>
      </c>
      <c r="F30" s="22">
        <v>0.4</v>
      </c>
      <c r="L30" s="20">
        <f>L6+L12+L13-L29</f>
        <v>464870416</v>
      </c>
    </row>
    <row r="31" spans="1:34" x14ac:dyDescent="0.25">
      <c r="C31" s="78">
        <f>+B11-C11</f>
        <v>0</v>
      </c>
      <c r="E31" s="107">
        <v>26764680</v>
      </c>
      <c r="F31" s="22">
        <v>0.6</v>
      </c>
    </row>
    <row r="34" spans="2:3" x14ac:dyDescent="0.25">
      <c r="C34" s="78">
        <v>558223612</v>
      </c>
    </row>
    <row r="36" spans="2:3" x14ac:dyDescent="0.25">
      <c r="B36" s="5">
        <v>40</v>
      </c>
      <c r="C36" s="108">
        <v>223289445</v>
      </c>
    </row>
    <row r="37" spans="2:3" x14ac:dyDescent="0.25">
      <c r="B37" s="5">
        <v>60</v>
      </c>
      <c r="C37" s="108">
        <v>334934167</v>
      </c>
    </row>
    <row r="38" spans="2:3" x14ac:dyDescent="0.25">
      <c r="C38" s="20">
        <f>+C36+C37</f>
        <v>558223612</v>
      </c>
    </row>
  </sheetData>
  <pageMargins left="0.70866141732283472" right="0.70866141732283472" top="0.74803149606299213" bottom="0.74803149606299213" header="0.31496062992125984" footer="0.31496062992125984"/>
  <pageSetup paperSize="5" scale="65" orientation="landscape" r:id="rId1"/>
  <ignoredErrors>
    <ignoredError sqref="T3:T4 L17:M17 O17 T6 R21:R23 R17" formula="1"/>
    <ignoredError sqref="D3:D22 F3:F16 I6:I12 K6:K16 N3:N12 P3:P16 T18 K18:K22 N18:N20 P18:P20 F18:F22 I14:I16 N14:N16 V5" evalError="1"/>
    <ignoredError sqref="T7:T17 T19:T23 P17 N17 K17 I17:I23 K23 N21:N23 P21:P23 D23 F17 F23 I13 N13 T5" evalError="1" formula="1"/>
    <ignoredError sqref="C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</sheetPr>
  <dimension ref="A2:CD81"/>
  <sheetViews>
    <sheetView showGridLines="0" topLeftCell="A4" zoomScale="80" zoomScaleNormal="80" zoomScaleSheetLayoutView="90" workbookViewId="0">
      <selection activeCell="AR36" sqref="AR36"/>
    </sheetView>
  </sheetViews>
  <sheetFormatPr baseColWidth="10" defaultColWidth="11.42578125" defaultRowHeight="18.75" outlineLevelRow="1" outlineLevelCol="1" x14ac:dyDescent="0.35"/>
  <cols>
    <col min="1" max="1" width="63" style="110" customWidth="1"/>
    <col min="2" max="2" width="17.28515625" style="110" hidden="1" customWidth="1" outlineLevel="1"/>
    <col min="3" max="3" width="21.28515625" style="110" hidden="1" customWidth="1" outlineLevel="1"/>
    <col min="4" max="6" width="20.28515625" style="121" hidden="1" customWidth="1" outlineLevel="1"/>
    <col min="7" max="7" width="18.85546875" style="121" hidden="1" customWidth="1" outlineLevel="1"/>
    <col min="8" max="10" width="20.28515625" style="121" hidden="1" customWidth="1" outlineLevel="1"/>
    <col min="11" max="11" width="16.5703125" style="121" hidden="1" customWidth="1" outlineLevel="1"/>
    <col min="12" max="14" width="18" style="121" hidden="1" customWidth="1" outlineLevel="1"/>
    <col min="15" max="15" width="18.5703125" style="121" hidden="1" customWidth="1" outlineLevel="1"/>
    <col min="16" max="16" width="23" style="121" hidden="1" customWidth="1" outlineLevel="1"/>
    <col min="17" max="19" width="20.28515625" style="121" hidden="1" customWidth="1" outlineLevel="1"/>
    <col min="20" max="23" width="22.5703125" style="111" hidden="1" customWidth="1" outlineLevel="1"/>
    <col min="24" max="24" width="26" style="111" hidden="1" customWidth="1" outlineLevel="1"/>
    <col min="25" max="28" width="21" style="121" hidden="1" customWidth="1" outlineLevel="1"/>
    <col min="29" max="36" width="21.5703125" style="121" hidden="1" customWidth="1" outlineLevel="1"/>
    <col min="37" max="40" width="21.7109375" style="121" hidden="1" customWidth="1" outlineLevel="1"/>
    <col min="41" max="41" width="25" style="121" customWidth="1" collapsed="1"/>
    <col min="42" max="45" width="21.7109375" style="121" customWidth="1"/>
    <col min="46" max="50" width="23" style="121" customWidth="1"/>
    <col min="51" max="55" width="23.140625" style="134" customWidth="1"/>
    <col min="56" max="56" width="22.5703125" style="134" customWidth="1"/>
    <col min="57" max="57" width="15" style="341" customWidth="1"/>
    <col min="58" max="59" width="26.7109375" style="341" customWidth="1"/>
    <col min="60" max="60" width="28.5703125" style="341" hidden="1" customWidth="1"/>
    <col min="61" max="61" width="28" style="124" hidden="1" customWidth="1"/>
    <col min="62" max="62" width="27.7109375" style="341" hidden="1" customWidth="1"/>
    <col min="63" max="64" width="11.42578125" style="341" hidden="1" customWidth="1"/>
    <col min="65" max="66" width="11.42578125" style="341" customWidth="1"/>
    <col min="67" max="16384" width="11.42578125" style="341"/>
  </cols>
  <sheetData>
    <row r="2" spans="1:64" ht="72" customHeight="1" x14ac:dyDescent="0.35">
      <c r="A2" s="309" t="s">
        <v>290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310"/>
      <c r="AY2" s="310"/>
      <c r="AZ2" s="310"/>
      <c r="BA2" s="310"/>
      <c r="BB2" s="310"/>
      <c r="BC2" s="310"/>
      <c r="BD2" s="310"/>
    </row>
    <row r="3" spans="1:64" ht="15.75" customHeight="1" x14ac:dyDescent="0.35">
      <c r="A3" s="112"/>
      <c r="B3" s="339" t="s">
        <v>32</v>
      </c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40" t="s">
        <v>33</v>
      </c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39" t="s">
        <v>34</v>
      </c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113" t="s">
        <v>3</v>
      </c>
      <c r="AP3" s="319"/>
      <c r="AQ3" s="319"/>
      <c r="AR3" s="319"/>
      <c r="AS3" s="319"/>
      <c r="AY3" s="307"/>
      <c r="AZ3" s="307"/>
      <c r="BA3" s="307"/>
      <c r="BB3" s="307"/>
      <c r="BC3" s="307"/>
      <c r="BD3" s="308"/>
      <c r="BI3" s="341"/>
    </row>
    <row r="4" spans="1:64" ht="76.5" customHeight="1" x14ac:dyDescent="0.35">
      <c r="A4" s="114" t="s">
        <v>4</v>
      </c>
      <c r="B4" s="337" t="s">
        <v>202</v>
      </c>
      <c r="C4" s="289" t="s">
        <v>203</v>
      </c>
      <c r="D4" s="289" t="s">
        <v>204</v>
      </c>
      <c r="E4" s="289" t="s">
        <v>253</v>
      </c>
      <c r="F4" s="289" t="s">
        <v>254</v>
      </c>
      <c r="G4" s="289" t="s">
        <v>205</v>
      </c>
      <c r="H4" s="289" t="s">
        <v>206</v>
      </c>
      <c r="I4" s="289" t="s">
        <v>274</v>
      </c>
      <c r="J4" s="289" t="s">
        <v>275</v>
      </c>
      <c r="K4" s="289" t="s">
        <v>207</v>
      </c>
      <c r="L4" s="289" t="s">
        <v>208</v>
      </c>
      <c r="M4" s="289" t="s">
        <v>276</v>
      </c>
      <c r="N4" s="289" t="s">
        <v>277</v>
      </c>
      <c r="O4" s="337" t="s">
        <v>211</v>
      </c>
      <c r="P4" s="297" t="s">
        <v>209</v>
      </c>
      <c r="Q4" s="297" t="s">
        <v>210</v>
      </c>
      <c r="R4" s="297" t="s">
        <v>261</v>
      </c>
      <c r="S4" s="297" t="s">
        <v>262</v>
      </c>
      <c r="T4" s="320" t="s">
        <v>189</v>
      </c>
      <c r="U4" s="320" t="s">
        <v>191</v>
      </c>
      <c r="V4" s="320" t="s">
        <v>278</v>
      </c>
      <c r="W4" s="320" t="s">
        <v>286</v>
      </c>
      <c r="X4" s="320" t="s">
        <v>190</v>
      </c>
      <c r="Y4" s="297" t="s">
        <v>192</v>
      </c>
      <c r="Z4" s="297" t="s">
        <v>279</v>
      </c>
      <c r="AA4" s="297" t="s">
        <v>287</v>
      </c>
      <c r="AB4" s="337" t="s">
        <v>214</v>
      </c>
      <c r="AC4" s="289" t="s">
        <v>212</v>
      </c>
      <c r="AD4" s="289" t="s">
        <v>213</v>
      </c>
      <c r="AE4" s="289" t="s">
        <v>268</v>
      </c>
      <c r="AF4" s="289" t="s">
        <v>269</v>
      </c>
      <c r="AG4" s="289" t="s">
        <v>193</v>
      </c>
      <c r="AH4" s="289" t="s">
        <v>196</v>
      </c>
      <c r="AI4" s="289" t="s">
        <v>280</v>
      </c>
      <c r="AJ4" s="289" t="s">
        <v>288</v>
      </c>
      <c r="AK4" s="289" t="s">
        <v>194</v>
      </c>
      <c r="AL4" s="289" t="s">
        <v>195</v>
      </c>
      <c r="AM4" s="289" t="s">
        <v>281</v>
      </c>
      <c r="AN4" s="289" t="s">
        <v>289</v>
      </c>
      <c r="AO4" s="306" t="s">
        <v>201</v>
      </c>
      <c r="AP4" s="323" t="s">
        <v>200</v>
      </c>
      <c r="AQ4" s="323" t="s">
        <v>197</v>
      </c>
      <c r="AR4" s="323" t="s">
        <v>198</v>
      </c>
      <c r="AS4" s="323" t="s">
        <v>199</v>
      </c>
      <c r="AT4" s="306" t="s">
        <v>35</v>
      </c>
      <c r="AU4" s="324" t="s">
        <v>215</v>
      </c>
      <c r="AV4" s="324" t="s">
        <v>216</v>
      </c>
      <c r="AW4" s="324" t="s">
        <v>282</v>
      </c>
      <c r="AX4" s="324" t="s">
        <v>283</v>
      </c>
      <c r="AY4" s="306" t="s">
        <v>36</v>
      </c>
      <c r="AZ4" s="324" t="s">
        <v>217</v>
      </c>
      <c r="BA4" s="324" t="s">
        <v>218</v>
      </c>
      <c r="BB4" s="324" t="s">
        <v>284</v>
      </c>
      <c r="BC4" s="324" t="s">
        <v>285</v>
      </c>
      <c r="BD4" s="306" t="s">
        <v>37</v>
      </c>
      <c r="BH4" s="341" t="s">
        <v>38</v>
      </c>
      <c r="BI4" s="341"/>
    </row>
    <row r="5" spans="1:64" ht="57.75" customHeight="1" x14ac:dyDescent="0.35">
      <c r="A5" s="116" t="s">
        <v>39</v>
      </c>
      <c r="B5" s="129">
        <v>0</v>
      </c>
      <c r="C5" s="129">
        <v>0</v>
      </c>
      <c r="D5" s="129">
        <v>0</v>
      </c>
      <c r="E5" s="129">
        <v>0</v>
      </c>
      <c r="F5" s="129">
        <v>0</v>
      </c>
      <c r="G5" s="129">
        <v>0</v>
      </c>
      <c r="H5" s="129">
        <v>0</v>
      </c>
      <c r="I5" s="129">
        <v>0</v>
      </c>
      <c r="J5" s="129">
        <v>0</v>
      </c>
      <c r="K5" s="129">
        <v>0</v>
      </c>
      <c r="L5" s="129">
        <v>0</v>
      </c>
      <c r="M5" s="129">
        <v>0</v>
      </c>
      <c r="N5" s="129">
        <v>0</v>
      </c>
      <c r="O5" s="120">
        <v>205948519000</v>
      </c>
      <c r="P5" s="120">
        <v>0</v>
      </c>
      <c r="Q5" s="120">
        <v>0</v>
      </c>
      <c r="R5" s="120">
        <v>0</v>
      </c>
      <c r="S5" s="120">
        <v>0</v>
      </c>
      <c r="T5" s="120">
        <v>0</v>
      </c>
      <c r="U5" s="120">
        <v>0</v>
      </c>
      <c r="V5" s="120">
        <v>0</v>
      </c>
      <c r="W5" s="120">
        <v>205948519000</v>
      </c>
      <c r="X5" s="120">
        <v>0</v>
      </c>
      <c r="Y5" s="120">
        <v>0</v>
      </c>
      <c r="Z5" s="120">
        <v>0</v>
      </c>
      <c r="AA5" s="120">
        <v>0</v>
      </c>
      <c r="AB5" s="301">
        <v>0</v>
      </c>
      <c r="AC5" s="301">
        <v>0</v>
      </c>
      <c r="AD5" s="301">
        <v>0</v>
      </c>
      <c r="AE5" s="301">
        <v>0</v>
      </c>
      <c r="AF5" s="301">
        <v>0</v>
      </c>
      <c r="AG5" s="301">
        <v>0</v>
      </c>
      <c r="AH5" s="301">
        <v>0</v>
      </c>
      <c r="AI5" s="301">
        <v>0</v>
      </c>
      <c r="AJ5" s="301">
        <v>0</v>
      </c>
      <c r="AK5" s="301">
        <v>0</v>
      </c>
      <c r="AL5" s="301">
        <v>0</v>
      </c>
      <c r="AM5" s="301">
        <v>0</v>
      </c>
      <c r="AN5" s="301">
        <v>0</v>
      </c>
      <c r="AO5" s="301">
        <f>B5+O5+AB5</f>
        <v>205948519000</v>
      </c>
      <c r="AP5" s="301">
        <f>C5+P5+AC5</f>
        <v>0</v>
      </c>
      <c r="AQ5" s="301">
        <f>D5+Q5+AD5</f>
        <v>0</v>
      </c>
      <c r="AR5" s="301">
        <f>E5+R5+AE5</f>
        <v>0</v>
      </c>
      <c r="AS5" s="301">
        <f>F5+S5+AF5</f>
        <v>0</v>
      </c>
      <c r="AT5" s="120">
        <f>AO5+AP5+AQ5+AR5+AS5</f>
        <v>205948519000</v>
      </c>
      <c r="AU5" s="301">
        <f>G5+T5+AG5</f>
        <v>0</v>
      </c>
      <c r="AV5" s="301">
        <f>H5+U5+AH5</f>
        <v>0</v>
      </c>
      <c r="AW5" s="301">
        <f>I5+V5+AI5</f>
        <v>0</v>
      </c>
      <c r="AX5" s="301">
        <f>J5+W5+AJ5</f>
        <v>205948519000</v>
      </c>
      <c r="AY5" s="120">
        <f>AU5+AV5+AW5+AX5</f>
        <v>205948519000</v>
      </c>
      <c r="AZ5" s="120">
        <f>K5+X5+AK5</f>
        <v>0</v>
      </c>
      <c r="BA5" s="120">
        <f>L5+Y5+AL5</f>
        <v>0</v>
      </c>
      <c r="BB5" s="301">
        <f>M5+Z5+AM5</f>
        <v>0</v>
      </c>
      <c r="BC5" s="301">
        <f>N5+AA5+AN5</f>
        <v>0</v>
      </c>
      <c r="BD5" s="120">
        <f>AZ5+BA5+BB5+BC5</f>
        <v>0</v>
      </c>
      <c r="BE5" s="342"/>
      <c r="BF5" s="342"/>
      <c r="BG5" s="342"/>
      <c r="BH5" s="342" t="s">
        <v>12</v>
      </c>
      <c r="BI5" s="124">
        <f>+AT29-D29</f>
        <v>518798938485.62</v>
      </c>
      <c r="BJ5" s="124">
        <f>AY5-BD5</f>
        <v>205948519000</v>
      </c>
      <c r="BL5" s="343">
        <f>AT5-BD5</f>
        <v>205948519000</v>
      </c>
    </row>
    <row r="6" spans="1:64" ht="31.5" customHeight="1" x14ac:dyDescent="0.35">
      <c r="A6" s="122" t="s">
        <v>40</v>
      </c>
      <c r="B6" s="129">
        <v>0</v>
      </c>
      <c r="C6" s="129">
        <v>0</v>
      </c>
      <c r="D6" s="129">
        <v>0</v>
      </c>
      <c r="E6" s="129">
        <v>0</v>
      </c>
      <c r="F6" s="129">
        <v>0</v>
      </c>
      <c r="G6" s="129">
        <v>0</v>
      </c>
      <c r="H6" s="129">
        <v>0</v>
      </c>
      <c r="I6" s="129">
        <v>0</v>
      </c>
      <c r="J6" s="129">
        <v>0</v>
      </c>
      <c r="K6" s="129">
        <v>0</v>
      </c>
      <c r="L6" s="129">
        <v>0</v>
      </c>
      <c r="M6" s="129">
        <v>0</v>
      </c>
      <c r="N6" s="129">
        <v>0</v>
      </c>
      <c r="O6" s="120">
        <v>0</v>
      </c>
      <c r="P6" s="120">
        <v>0</v>
      </c>
      <c r="Q6" s="120">
        <v>0</v>
      </c>
      <c r="R6" s="120">
        <v>0</v>
      </c>
      <c r="S6" s="120">
        <v>0</v>
      </c>
      <c r="T6" s="120">
        <v>0</v>
      </c>
      <c r="U6" s="120">
        <v>0</v>
      </c>
      <c r="V6" s="120">
        <v>0</v>
      </c>
      <c r="W6" s="120">
        <v>0</v>
      </c>
      <c r="X6" s="120">
        <v>0</v>
      </c>
      <c r="Y6" s="120">
        <v>0</v>
      </c>
      <c r="Z6" s="120">
        <v>0</v>
      </c>
      <c r="AA6" s="120">
        <v>0</v>
      </c>
      <c r="AB6" s="120">
        <v>152192078550</v>
      </c>
      <c r="AC6" s="120">
        <v>0</v>
      </c>
      <c r="AD6" s="120">
        <v>0</v>
      </c>
      <c r="AE6" s="120">
        <v>0</v>
      </c>
      <c r="AF6" s="120">
        <v>0</v>
      </c>
      <c r="AG6" s="120">
        <v>34070738375</v>
      </c>
      <c r="AH6" s="120">
        <v>1678832849.5999999</v>
      </c>
      <c r="AI6" s="120">
        <v>762533935</v>
      </c>
      <c r="AJ6" s="120">
        <v>32462371800.000008</v>
      </c>
      <c r="AK6" s="120">
        <f>+AG6</f>
        <v>34070738375</v>
      </c>
      <c r="AL6" s="120">
        <v>1678832849.5999999</v>
      </c>
      <c r="AM6" s="120">
        <v>762533935</v>
      </c>
      <c r="AN6" s="120">
        <v>32462371800.000008</v>
      </c>
      <c r="AO6" s="301">
        <f>B6+O6+AB6</f>
        <v>152192078550</v>
      </c>
      <c r="AP6" s="301">
        <f>C6+P6+AC6</f>
        <v>0</v>
      </c>
      <c r="AQ6" s="301">
        <f>D6+Q6+AD6</f>
        <v>0</v>
      </c>
      <c r="AR6" s="301">
        <f>E6+R6+AE6</f>
        <v>0</v>
      </c>
      <c r="AS6" s="301">
        <f t="shared" ref="AS6:AS29" si="0">F6+S6+AF6</f>
        <v>0</v>
      </c>
      <c r="AT6" s="120">
        <f t="shared" ref="AT6:AT29" si="1">AO6+AP6+AQ6+AR6+AS6</f>
        <v>152192078550</v>
      </c>
      <c r="AU6" s="301">
        <f>G6+T6+AG6</f>
        <v>34070738375</v>
      </c>
      <c r="AV6" s="301">
        <f>H6+U6+AH6</f>
        <v>1678832849.5999999</v>
      </c>
      <c r="AW6" s="301">
        <f>I6+V6+AI6</f>
        <v>762533935</v>
      </c>
      <c r="AX6" s="301">
        <f t="shared" ref="AX6:AX29" si="2">J6+W6+AJ6</f>
        <v>32462371800.000008</v>
      </c>
      <c r="AY6" s="120">
        <f t="shared" ref="AY6:AY29" si="3">AU6+AV6+AW6+AX6</f>
        <v>68974476959.600006</v>
      </c>
      <c r="AZ6" s="120">
        <f>K6+X6+AK6</f>
        <v>34070738375</v>
      </c>
      <c r="BA6" s="120">
        <f>L6+Y6+AL6</f>
        <v>1678832849.5999999</v>
      </c>
      <c r="BB6" s="301">
        <f>M6+Z6+AM6</f>
        <v>762533935</v>
      </c>
      <c r="BC6" s="301">
        <f t="shared" ref="BC6:BC29" si="4">N6+AA6+AN6</f>
        <v>32462371800.000008</v>
      </c>
      <c r="BD6" s="120">
        <f t="shared" ref="BD6:BD29" si="5">AZ6+BA6+BB6+BC6</f>
        <v>68974476959.600006</v>
      </c>
      <c r="BE6" s="120"/>
      <c r="BF6" s="120"/>
      <c r="BG6" s="120"/>
      <c r="BH6" s="342" t="s">
        <v>41</v>
      </c>
      <c r="BI6" s="124">
        <f>+'EGRESOS '!BL32-'EGRESOS '!H32</f>
        <v>140874540087.44</v>
      </c>
      <c r="BJ6" s="124"/>
      <c r="BL6" s="343">
        <f>AT6-BD6</f>
        <v>83217601590.399994</v>
      </c>
    </row>
    <row r="7" spans="1:64" ht="36" x14ac:dyDescent="0.35">
      <c r="A7" s="122" t="s">
        <v>42</v>
      </c>
      <c r="B7" s="129">
        <v>0</v>
      </c>
      <c r="C7" s="129">
        <v>0</v>
      </c>
      <c r="D7" s="129">
        <v>0</v>
      </c>
      <c r="E7" s="129">
        <v>0</v>
      </c>
      <c r="F7" s="129">
        <v>0</v>
      </c>
      <c r="G7" s="129">
        <v>0</v>
      </c>
      <c r="H7" s="129">
        <v>0</v>
      </c>
      <c r="I7" s="129">
        <v>0</v>
      </c>
      <c r="J7" s="129">
        <v>0</v>
      </c>
      <c r="K7" s="129">
        <v>0</v>
      </c>
      <c r="L7" s="129">
        <v>0</v>
      </c>
      <c r="M7" s="129">
        <v>0</v>
      </c>
      <c r="N7" s="129">
        <v>0</v>
      </c>
      <c r="O7" s="120">
        <v>0</v>
      </c>
      <c r="P7" s="120">
        <v>0</v>
      </c>
      <c r="Q7" s="120">
        <v>0</v>
      </c>
      <c r="R7" s="120">
        <v>0</v>
      </c>
      <c r="S7" s="120">
        <v>0</v>
      </c>
      <c r="T7" s="120">
        <v>0</v>
      </c>
      <c r="U7" s="120">
        <v>0</v>
      </c>
      <c r="V7" s="120">
        <v>0</v>
      </c>
      <c r="W7" s="120">
        <v>0</v>
      </c>
      <c r="X7" s="120">
        <v>0</v>
      </c>
      <c r="Y7" s="120">
        <v>0</v>
      </c>
      <c r="Z7" s="120">
        <v>0</v>
      </c>
      <c r="AA7" s="120">
        <v>0</v>
      </c>
      <c r="AB7" s="120">
        <v>0</v>
      </c>
      <c r="AC7" s="120">
        <v>15036124966</v>
      </c>
      <c r="AD7" s="120">
        <v>0</v>
      </c>
      <c r="AE7" s="120">
        <v>0</v>
      </c>
      <c r="AF7" s="120">
        <v>0</v>
      </c>
      <c r="AG7" s="120">
        <v>15036124966</v>
      </c>
      <c r="AH7" s="120">
        <v>0</v>
      </c>
      <c r="AI7" s="120">
        <v>0</v>
      </c>
      <c r="AJ7" s="120">
        <v>0</v>
      </c>
      <c r="AK7" s="120">
        <f>+AG7</f>
        <v>15036124966</v>
      </c>
      <c r="AL7" s="120">
        <v>0</v>
      </c>
      <c r="AM7" s="120">
        <v>0</v>
      </c>
      <c r="AN7" s="120">
        <v>0</v>
      </c>
      <c r="AO7" s="301">
        <f>B7+O7+AB7</f>
        <v>0</v>
      </c>
      <c r="AP7" s="301">
        <f>C7+P7+AC7</f>
        <v>15036124966</v>
      </c>
      <c r="AQ7" s="301">
        <f>D7+Q7+AD7</f>
        <v>0</v>
      </c>
      <c r="AR7" s="301">
        <f>E7+R7+AE7</f>
        <v>0</v>
      </c>
      <c r="AS7" s="301">
        <f t="shared" si="0"/>
        <v>0</v>
      </c>
      <c r="AT7" s="120">
        <f t="shared" si="1"/>
        <v>15036124966</v>
      </c>
      <c r="AU7" s="301">
        <f>G7+T7+AG7</f>
        <v>15036124966</v>
      </c>
      <c r="AV7" s="301">
        <f>H7+U7+AH7</f>
        <v>0</v>
      </c>
      <c r="AW7" s="301">
        <f>I7+V7+AI7</f>
        <v>0</v>
      </c>
      <c r="AX7" s="301">
        <f t="shared" si="2"/>
        <v>0</v>
      </c>
      <c r="AY7" s="120">
        <f t="shared" si="3"/>
        <v>15036124966</v>
      </c>
      <c r="AZ7" s="120">
        <f>K7+X7+AK7</f>
        <v>15036124966</v>
      </c>
      <c r="BA7" s="120">
        <f>L7+Y7+AL7</f>
        <v>0</v>
      </c>
      <c r="BB7" s="301">
        <f>M7+Z7+AM7</f>
        <v>0</v>
      </c>
      <c r="BC7" s="301">
        <f t="shared" si="4"/>
        <v>0</v>
      </c>
      <c r="BD7" s="120">
        <f t="shared" si="5"/>
        <v>15036124966</v>
      </c>
      <c r="BE7" s="342"/>
      <c r="BF7" s="342"/>
      <c r="BG7" s="342"/>
      <c r="BH7" s="344" t="s">
        <v>43</v>
      </c>
      <c r="BI7" s="345">
        <f>BI5-BI6-BI10-BI11-BI15-BI9</f>
        <v>294685845000.78003</v>
      </c>
      <c r="BJ7" s="124"/>
      <c r="BL7" s="343">
        <f>AT7-BD7</f>
        <v>0</v>
      </c>
    </row>
    <row r="8" spans="1:64" x14ac:dyDescent="0.35">
      <c r="A8" s="122" t="s">
        <v>20</v>
      </c>
      <c r="B8" s="129">
        <v>0</v>
      </c>
      <c r="C8" s="129">
        <v>0</v>
      </c>
      <c r="D8" s="129">
        <v>0</v>
      </c>
      <c r="E8" s="129">
        <v>0</v>
      </c>
      <c r="F8" s="129">
        <v>0</v>
      </c>
      <c r="G8" s="129">
        <v>0</v>
      </c>
      <c r="H8" s="129">
        <v>0</v>
      </c>
      <c r="I8" s="129">
        <v>0</v>
      </c>
      <c r="J8" s="129">
        <v>0</v>
      </c>
      <c r="K8" s="129">
        <v>0</v>
      </c>
      <c r="L8" s="129">
        <v>0</v>
      </c>
      <c r="M8" s="129">
        <v>0</v>
      </c>
      <c r="N8" s="129">
        <v>0</v>
      </c>
      <c r="O8" s="120">
        <v>2746161002</v>
      </c>
      <c r="P8" s="120">
        <v>260069340</v>
      </c>
      <c r="Q8" s="120">
        <v>0</v>
      </c>
      <c r="R8" s="120">
        <v>0</v>
      </c>
      <c r="S8" s="120">
        <v>0</v>
      </c>
      <c r="T8" s="120">
        <v>3006230342</v>
      </c>
      <c r="U8" s="120">
        <v>0</v>
      </c>
      <c r="V8" s="120">
        <v>0</v>
      </c>
      <c r="W8" s="120">
        <v>0</v>
      </c>
      <c r="X8" s="120">
        <f>+T8</f>
        <v>3006230342</v>
      </c>
      <c r="Y8" s="120">
        <v>0</v>
      </c>
      <c r="Z8" s="120">
        <v>0</v>
      </c>
      <c r="AA8" s="120">
        <v>0</v>
      </c>
      <c r="AB8" s="120"/>
      <c r="AC8" s="120"/>
      <c r="AD8" s="120">
        <v>0</v>
      </c>
      <c r="AE8" s="120">
        <v>0</v>
      </c>
      <c r="AF8" s="120">
        <v>0</v>
      </c>
      <c r="AG8" s="120">
        <v>0</v>
      </c>
      <c r="AH8" s="120">
        <v>0</v>
      </c>
      <c r="AI8" s="120">
        <v>0</v>
      </c>
      <c r="AJ8" s="120">
        <v>0</v>
      </c>
      <c r="AK8" s="120">
        <v>0</v>
      </c>
      <c r="AL8" s="120">
        <v>0</v>
      </c>
      <c r="AM8" s="120">
        <v>0</v>
      </c>
      <c r="AN8" s="120">
        <v>0</v>
      </c>
      <c r="AO8" s="301">
        <f>B8+O8+AB8</f>
        <v>2746161002</v>
      </c>
      <c r="AP8" s="301">
        <f>C8+P8+AC8</f>
        <v>260069340</v>
      </c>
      <c r="AQ8" s="301">
        <f>D8+Q8+AD8</f>
        <v>0</v>
      </c>
      <c r="AR8" s="301">
        <f>E8+R8+AE8</f>
        <v>0</v>
      </c>
      <c r="AS8" s="301">
        <f t="shared" si="0"/>
        <v>0</v>
      </c>
      <c r="AT8" s="120">
        <f t="shared" si="1"/>
        <v>3006230342</v>
      </c>
      <c r="AU8" s="301">
        <f>G8+T8+AG8</f>
        <v>3006230342</v>
      </c>
      <c r="AV8" s="301">
        <f>H8+U8+AH8</f>
        <v>0</v>
      </c>
      <c r="AW8" s="301">
        <f>I8+V8+AI8</f>
        <v>0</v>
      </c>
      <c r="AX8" s="301">
        <f t="shared" si="2"/>
        <v>0</v>
      </c>
      <c r="AY8" s="120">
        <f t="shared" si="3"/>
        <v>3006230342</v>
      </c>
      <c r="AZ8" s="120">
        <f>K8+X8+AK8</f>
        <v>3006230342</v>
      </c>
      <c r="BA8" s="120">
        <f>L8+Y8+AL8</f>
        <v>0</v>
      </c>
      <c r="BB8" s="301">
        <f>M8+Z8+AM8</f>
        <v>0</v>
      </c>
      <c r="BC8" s="301">
        <f t="shared" si="4"/>
        <v>0</v>
      </c>
      <c r="BD8" s="120">
        <f t="shared" si="5"/>
        <v>3006230342</v>
      </c>
      <c r="BE8" s="342"/>
      <c r="BF8" s="342"/>
      <c r="BG8" s="342"/>
      <c r="BI8" s="341"/>
      <c r="BJ8" s="345">
        <f>AY8-AT8</f>
        <v>0</v>
      </c>
      <c r="BL8" s="343">
        <f>AT8-BD8</f>
        <v>0</v>
      </c>
    </row>
    <row r="9" spans="1:64" ht="36" customHeight="1" x14ac:dyDescent="0.35">
      <c r="A9" s="122" t="s">
        <v>182</v>
      </c>
      <c r="B9" s="129">
        <v>0</v>
      </c>
      <c r="C9" s="129">
        <v>0</v>
      </c>
      <c r="D9" s="129">
        <v>0</v>
      </c>
      <c r="E9" s="129">
        <v>0</v>
      </c>
      <c r="F9" s="129">
        <v>0</v>
      </c>
      <c r="G9" s="129">
        <v>0</v>
      </c>
      <c r="H9" s="129">
        <v>0</v>
      </c>
      <c r="I9" s="129">
        <v>0</v>
      </c>
      <c r="J9" s="129">
        <v>0</v>
      </c>
      <c r="K9" s="129">
        <v>0</v>
      </c>
      <c r="L9" s="129">
        <v>0</v>
      </c>
      <c r="M9" s="129">
        <v>0</v>
      </c>
      <c r="N9" s="129">
        <v>0</v>
      </c>
      <c r="O9" s="120">
        <v>0</v>
      </c>
      <c r="P9" s="120">
        <v>0</v>
      </c>
      <c r="Q9" s="120">
        <v>0</v>
      </c>
      <c r="R9" s="120">
        <v>0</v>
      </c>
      <c r="S9" s="120">
        <v>0</v>
      </c>
      <c r="T9" s="120">
        <v>108513747</v>
      </c>
      <c r="U9" s="120">
        <v>98462338.25</v>
      </c>
      <c r="V9" s="120">
        <v>226162957.00999999</v>
      </c>
      <c r="W9" s="120">
        <v>952854608</v>
      </c>
      <c r="X9" s="120">
        <f>+T9</f>
        <v>108513747</v>
      </c>
      <c r="Y9" s="120">
        <v>98462338.25</v>
      </c>
      <c r="Z9" s="120">
        <v>226162957.00999999</v>
      </c>
      <c r="AA9" s="120">
        <v>952854608</v>
      </c>
      <c r="AB9" s="120"/>
      <c r="AC9" s="120"/>
      <c r="AD9" s="120">
        <v>0</v>
      </c>
      <c r="AE9" s="120">
        <v>0</v>
      </c>
      <c r="AF9" s="120">
        <v>0</v>
      </c>
      <c r="AG9" s="120">
        <v>0</v>
      </c>
      <c r="AH9" s="120">
        <v>0</v>
      </c>
      <c r="AI9" s="120">
        <v>0</v>
      </c>
      <c r="AJ9" s="120">
        <v>0</v>
      </c>
      <c r="AK9" s="120">
        <v>0</v>
      </c>
      <c r="AL9" s="120">
        <v>0</v>
      </c>
      <c r="AM9" s="120">
        <v>0</v>
      </c>
      <c r="AN9" s="120">
        <v>0</v>
      </c>
      <c r="AO9" s="301">
        <f>B9+O9+AB9</f>
        <v>0</v>
      </c>
      <c r="AP9" s="301">
        <f>C9+P9+AC9</f>
        <v>0</v>
      </c>
      <c r="AQ9" s="301">
        <f>D9+Q9+AD9</f>
        <v>0</v>
      </c>
      <c r="AR9" s="301">
        <f>E9+R9+AE9</f>
        <v>0</v>
      </c>
      <c r="AS9" s="301">
        <f t="shared" si="0"/>
        <v>0</v>
      </c>
      <c r="AT9" s="120">
        <f t="shared" si="1"/>
        <v>0</v>
      </c>
      <c r="AU9" s="301">
        <f>G9+T9+AG9</f>
        <v>108513747</v>
      </c>
      <c r="AV9" s="301">
        <f>H9+U9+AH9</f>
        <v>98462338.25</v>
      </c>
      <c r="AW9" s="301">
        <f>I9+V9+AI9</f>
        <v>226162957.00999999</v>
      </c>
      <c r="AX9" s="301">
        <f t="shared" si="2"/>
        <v>952854608</v>
      </c>
      <c r="AY9" s="120">
        <f t="shared" si="3"/>
        <v>1385993650.26</v>
      </c>
      <c r="AZ9" s="120">
        <f>K9+X9+AK9</f>
        <v>108513747</v>
      </c>
      <c r="BA9" s="120">
        <f>L9+Y9+AL9</f>
        <v>98462338.25</v>
      </c>
      <c r="BB9" s="301">
        <f>M9+Z9+AM9</f>
        <v>226162957.00999999</v>
      </c>
      <c r="BC9" s="301">
        <f t="shared" si="4"/>
        <v>952854608</v>
      </c>
      <c r="BD9" s="120">
        <f t="shared" si="5"/>
        <v>1385993650.26</v>
      </c>
      <c r="BE9" s="342"/>
      <c r="BF9" s="124"/>
      <c r="BG9" s="342"/>
      <c r="BH9" s="342" t="s">
        <v>45</v>
      </c>
      <c r="BI9" s="124">
        <f>AT5-AY5</f>
        <v>0</v>
      </c>
      <c r="BL9" s="343">
        <f>AT9-BD9</f>
        <v>-1385993650.26</v>
      </c>
    </row>
    <row r="10" spans="1:64" x14ac:dyDescent="0.35">
      <c r="A10" s="122" t="s">
        <v>46</v>
      </c>
      <c r="B10" s="129">
        <v>0</v>
      </c>
      <c r="C10" s="129">
        <v>0</v>
      </c>
      <c r="D10" s="129">
        <v>0</v>
      </c>
      <c r="E10" s="129">
        <v>0</v>
      </c>
      <c r="F10" s="129">
        <v>0</v>
      </c>
      <c r="G10" s="129">
        <v>0</v>
      </c>
      <c r="H10" s="129">
        <v>0</v>
      </c>
      <c r="I10" s="129">
        <v>0</v>
      </c>
      <c r="J10" s="129">
        <v>0</v>
      </c>
      <c r="K10" s="129">
        <v>0</v>
      </c>
      <c r="L10" s="129">
        <v>0</v>
      </c>
      <c r="M10" s="129">
        <v>0</v>
      </c>
      <c r="N10" s="129">
        <v>0</v>
      </c>
      <c r="O10" s="120">
        <v>0</v>
      </c>
      <c r="P10" s="120">
        <v>62984793034</v>
      </c>
      <c r="Q10" s="120">
        <v>0</v>
      </c>
      <c r="R10" s="120">
        <v>0</v>
      </c>
      <c r="S10" s="120">
        <v>0</v>
      </c>
      <c r="T10" s="120">
        <f>+P10</f>
        <v>62984793034</v>
      </c>
      <c r="U10" s="120">
        <v>0</v>
      </c>
      <c r="V10" s="120">
        <v>0</v>
      </c>
      <c r="W10" s="120">
        <v>0</v>
      </c>
      <c r="X10" s="120">
        <f>+T10</f>
        <v>62984793034</v>
      </c>
      <c r="Y10" s="120">
        <v>0</v>
      </c>
      <c r="Z10" s="120">
        <v>0</v>
      </c>
      <c r="AA10" s="120">
        <v>0</v>
      </c>
      <c r="AB10" s="120">
        <v>0</v>
      </c>
      <c r="AC10" s="120">
        <v>41451820715</v>
      </c>
      <c r="AD10" s="120">
        <v>0</v>
      </c>
      <c r="AE10" s="120">
        <v>0</v>
      </c>
      <c r="AF10" s="120">
        <v>0</v>
      </c>
      <c r="AG10" s="120">
        <v>41451820715</v>
      </c>
      <c r="AH10" s="120">
        <v>0</v>
      </c>
      <c r="AI10" s="120">
        <v>0</v>
      </c>
      <c r="AJ10" s="120">
        <v>0</v>
      </c>
      <c r="AK10" s="120">
        <f>+AG10</f>
        <v>41451820715</v>
      </c>
      <c r="AL10" s="120">
        <v>0</v>
      </c>
      <c r="AM10" s="120">
        <v>0</v>
      </c>
      <c r="AN10" s="120">
        <v>0</v>
      </c>
      <c r="AO10" s="301">
        <f>B10+O10+AB10</f>
        <v>0</v>
      </c>
      <c r="AP10" s="301">
        <f>C10+P10+AC10</f>
        <v>104436613749</v>
      </c>
      <c r="AQ10" s="301">
        <f>D10+Q10+AD10</f>
        <v>0</v>
      </c>
      <c r="AR10" s="301">
        <f>E10+R10+AE10</f>
        <v>0</v>
      </c>
      <c r="AS10" s="301">
        <f t="shared" si="0"/>
        <v>0</v>
      </c>
      <c r="AT10" s="120">
        <f t="shared" si="1"/>
        <v>104436613749</v>
      </c>
      <c r="AU10" s="301">
        <f>G10+T10+AG10</f>
        <v>104436613749</v>
      </c>
      <c r="AV10" s="301">
        <f>H10+U10+AH10</f>
        <v>0</v>
      </c>
      <c r="AW10" s="301">
        <f>I10+V10+AI10</f>
        <v>0</v>
      </c>
      <c r="AX10" s="301">
        <f t="shared" si="2"/>
        <v>0</v>
      </c>
      <c r="AY10" s="120">
        <f t="shared" si="3"/>
        <v>104436613749</v>
      </c>
      <c r="AZ10" s="120">
        <f>K10+X10+AK10</f>
        <v>104436613749</v>
      </c>
      <c r="BA10" s="120">
        <f>L10+Y10+AL10</f>
        <v>0</v>
      </c>
      <c r="BB10" s="301">
        <f>M10+Z10+AM10</f>
        <v>0</v>
      </c>
      <c r="BC10" s="301">
        <f t="shared" si="4"/>
        <v>0</v>
      </c>
      <c r="BD10" s="120">
        <f t="shared" si="5"/>
        <v>104436613749</v>
      </c>
      <c r="BE10" s="342"/>
      <c r="BF10" s="342"/>
      <c r="BG10" s="342"/>
      <c r="BH10" s="342" t="s">
        <v>47</v>
      </c>
      <c r="BI10" s="124">
        <f>AT6-AY6</f>
        <v>83217601590.399994</v>
      </c>
      <c r="BL10" s="343">
        <f>AT10-BD10</f>
        <v>0</v>
      </c>
    </row>
    <row r="11" spans="1:64" x14ac:dyDescent="0.35">
      <c r="A11" s="122" t="s">
        <v>48</v>
      </c>
      <c r="B11" s="129">
        <f>B12+B13</f>
        <v>0</v>
      </c>
      <c r="C11" s="129">
        <f>C12+C13</f>
        <v>0</v>
      </c>
      <c r="D11" s="129">
        <f>D12+D13</f>
        <v>0</v>
      </c>
      <c r="E11" s="129">
        <f t="shared" ref="E11:F11" si="6">E12+E13</f>
        <v>0</v>
      </c>
      <c r="F11" s="129">
        <f t="shared" si="6"/>
        <v>0</v>
      </c>
      <c r="G11" s="129">
        <f>G12+G13</f>
        <v>0</v>
      </c>
      <c r="H11" s="129">
        <f>H12+H13</f>
        <v>0</v>
      </c>
      <c r="I11" s="129">
        <f>I12+I13</f>
        <v>0</v>
      </c>
      <c r="J11" s="129">
        <f>J12+J13</f>
        <v>0</v>
      </c>
      <c r="K11" s="129">
        <v>0</v>
      </c>
      <c r="L11" s="129">
        <f>L12+L13</f>
        <v>0</v>
      </c>
      <c r="M11" s="129">
        <f>M12+M13</f>
        <v>0</v>
      </c>
      <c r="N11" s="129">
        <f>N12+N13</f>
        <v>0</v>
      </c>
      <c r="O11" s="120">
        <f>SUM(O12:O14)</f>
        <v>2000000001</v>
      </c>
      <c r="P11" s="120">
        <f>SUM(P12:P14)</f>
        <v>1712516140</v>
      </c>
      <c r="Q11" s="120">
        <f>SUM(Q12:Q14)</f>
        <v>0</v>
      </c>
      <c r="R11" s="120">
        <f>SUM(R12:R14)</f>
        <v>0</v>
      </c>
      <c r="S11" s="120">
        <v>0</v>
      </c>
      <c r="T11" s="120">
        <f>SUM(T12:T14)</f>
        <v>2406539095</v>
      </c>
      <c r="U11" s="120">
        <v>554307184</v>
      </c>
      <c r="V11" s="120">
        <v>473497266</v>
      </c>
      <c r="W11" s="120">
        <v>328640268</v>
      </c>
      <c r="X11" s="120">
        <f>X12+X13+X14</f>
        <v>2406539095</v>
      </c>
      <c r="Y11" s="120">
        <v>554307184</v>
      </c>
      <c r="Z11" s="120">
        <v>473497266</v>
      </c>
      <c r="AA11" s="120">
        <v>328640268</v>
      </c>
      <c r="AB11" s="120">
        <f>AB12+AB13+AB14</f>
        <v>17000000000</v>
      </c>
      <c r="AC11" s="120">
        <f>AC12+AC13+AC14</f>
        <v>5130626951</v>
      </c>
      <c r="AD11" s="120">
        <f>AD12+AD13+AD14</f>
        <v>0</v>
      </c>
      <c r="AE11" s="120">
        <f>AE12+AE13+AE14</f>
        <v>0</v>
      </c>
      <c r="AF11" s="120">
        <v>0</v>
      </c>
      <c r="AG11" s="120">
        <f>AG12+AG13+AG14</f>
        <v>7253744364.46</v>
      </c>
      <c r="AH11" s="120">
        <f>AH12+AH13+AH14</f>
        <v>1966628686.48</v>
      </c>
      <c r="AI11" s="120">
        <v>2074264924.0500002</v>
      </c>
      <c r="AJ11" s="120">
        <v>1626782268.8800001</v>
      </c>
      <c r="AK11" s="120">
        <f>AK12+AK13+AK14</f>
        <v>7253744364.46</v>
      </c>
      <c r="AL11" s="120">
        <f>AL12+AL13+AL14</f>
        <v>1966628686.48</v>
      </c>
      <c r="AM11" s="120">
        <v>2074264924.0500002</v>
      </c>
      <c r="AN11" s="120">
        <v>1626782268.8800001</v>
      </c>
      <c r="AO11" s="301">
        <f>B11+O11+AB11</f>
        <v>19000000001</v>
      </c>
      <c r="AP11" s="301">
        <f>C11+P11+AC11</f>
        <v>6843143091</v>
      </c>
      <c r="AQ11" s="301">
        <f>D11+Q11+AD11</f>
        <v>0</v>
      </c>
      <c r="AR11" s="301">
        <f>E11+R11+AE11</f>
        <v>0</v>
      </c>
      <c r="AS11" s="301">
        <f t="shared" si="0"/>
        <v>0</v>
      </c>
      <c r="AT11" s="120">
        <f t="shared" si="1"/>
        <v>25843143092</v>
      </c>
      <c r="AU11" s="301">
        <f>G11+T11+AG11</f>
        <v>9660283459.4599991</v>
      </c>
      <c r="AV11" s="301">
        <f>H11+U11+AH11</f>
        <v>2520935870.48</v>
      </c>
      <c r="AW11" s="301">
        <f>I11+V11+AI11</f>
        <v>2547762190.0500002</v>
      </c>
      <c r="AX11" s="301">
        <f t="shared" si="2"/>
        <v>1955422536.8800001</v>
      </c>
      <c r="AY11" s="120">
        <f t="shared" si="3"/>
        <v>16684404056.869999</v>
      </c>
      <c r="AZ11" s="120">
        <f>K11+X11+AK11</f>
        <v>9660283459.4599991</v>
      </c>
      <c r="BA11" s="120">
        <f>L11+Y11+AL11</f>
        <v>2520935870.48</v>
      </c>
      <c r="BB11" s="301">
        <f>M11+Z11+AM11</f>
        <v>2547762190.0500002</v>
      </c>
      <c r="BC11" s="301">
        <f t="shared" si="4"/>
        <v>1955422536.8800001</v>
      </c>
      <c r="BD11" s="120">
        <f t="shared" si="5"/>
        <v>16684404056.869999</v>
      </c>
      <c r="BE11" s="342"/>
      <c r="BF11" s="342"/>
      <c r="BG11" s="342"/>
      <c r="BH11" s="346" t="s">
        <v>49</v>
      </c>
      <c r="BI11" s="124">
        <f>AT21-AY21</f>
        <v>20951807</v>
      </c>
      <c r="BJ11" s="347"/>
      <c r="BL11" s="343">
        <f>AT11-BD11</f>
        <v>9158739035.1300011</v>
      </c>
    </row>
    <row r="12" spans="1:64" ht="36" hidden="1" outlineLevel="1" x14ac:dyDescent="0.35">
      <c r="A12" s="126" t="s">
        <v>50</v>
      </c>
      <c r="B12" s="290">
        <v>0</v>
      </c>
      <c r="C12" s="266">
        <v>0</v>
      </c>
      <c r="D12" s="266">
        <v>0</v>
      </c>
      <c r="E12" s="266">
        <v>0</v>
      </c>
      <c r="F12" s="266">
        <v>0</v>
      </c>
      <c r="G12" s="266">
        <v>0</v>
      </c>
      <c r="H12" s="266">
        <v>0</v>
      </c>
      <c r="I12" s="266">
        <v>0</v>
      </c>
      <c r="J12" s="266">
        <v>0</v>
      </c>
      <c r="K12" s="266">
        <v>0</v>
      </c>
      <c r="L12" s="266">
        <v>0</v>
      </c>
      <c r="M12" s="266">
        <v>0</v>
      </c>
      <c r="N12" s="266">
        <v>0</v>
      </c>
      <c r="O12" s="266">
        <v>0</v>
      </c>
      <c r="P12" s="266">
        <v>1712516140</v>
      </c>
      <c r="Q12" s="266">
        <v>0</v>
      </c>
      <c r="R12" s="266">
        <v>0</v>
      </c>
      <c r="S12" s="266">
        <v>0</v>
      </c>
      <c r="T12" s="266">
        <v>1712516140</v>
      </c>
      <c r="U12" s="266">
        <v>0</v>
      </c>
      <c r="V12" s="266">
        <v>0</v>
      </c>
      <c r="W12" s="266">
        <v>0</v>
      </c>
      <c r="X12" s="266">
        <v>1712516140</v>
      </c>
      <c r="Y12" s="266">
        <v>0</v>
      </c>
      <c r="Z12" s="266">
        <v>0</v>
      </c>
      <c r="AA12" s="266">
        <v>0</v>
      </c>
      <c r="AB12" s="266">
        <v>0</v>
      </c>
      <c r="AC12" s="266">
        <v>5130626951</v>
      </c>
      <c r="AD12" s="266">
        <v>0</v>
      </c>
      <c r="AE12" s="266">
        <v>0</v>
      </c>
      <c r="AF12" s="266">
        <v>0</v>
      </c>
      <c r="AG12" s="266">
        <v>5130626951</v>
      </c>
      <c r="AH12" s="266">
        <v>0</v>
      </c>
      <c r="AI12" s="266">
        <v>0</v>
      </c>
      <c r="AJ12" s="266">
        <v>0</v>
      </c>
      <c r="AK12" s="266">
        <f>AG12</f>
        <v>5130626951</v>
      </c>
      <c r="AL12" s="266">
        <v>0</v>
      </c>
      <c r="AM12" s="266">
        <v>0</v>
      </c>
      <c r="AN12" s="266">
        <v>0</v>
      </c>
      <c r="AO12" s="266">
        <f>B12+O12+AB12</f>
        <v>0</v>
      </c>
      <c r="AP12" s="266">
        <f>C12+P12+AC12</f>
        <v>6843143091</v>
      </c>
      <c r="AQ12" s="266">
        <f>D12+Q12+AD12</f>
        <v>0</v>
      </c>
      <c r="AR12" s="266">
        <f>E12+R12+AE12</f>
        <v>0</v>
      </c>
      <c r="AS12" s="266">
        <f t="shared" si="0"/>
        <v>0</v>
      </c>
      <c r="AT12" s="266">
        <f t="shared" si="1"/>
        <v>6843143091</v>
      </c>
      <c r="AU12" s="266">
        <f>G12+T12+AG12</f>
        <v>6843143091</v>
      </c>
      <c r="AV12" s="266">
        <f>H12+U12+AH12</f>
        <v>0</v>
      </c>
      <c r="AW12" s="266">
        <f>I12+V12+AI12</f>
        <v>0</v>
      </c>
      <c r="AX12" s="266">
        <f t="shared" si="2"/>
        <v>0</v>
      </c>
      <c r="AY12" s="266">
        <f t="shared" si="3"/>
        <v>6843143091</v>
      </c>
      <c r="AZ12" s="266">
        <f>K12+X12+AK12</f>
        <v>6843143091</v>
      </c>
      <c r="BA12" s="266">
        <f>L12+Y12+AL12</f>
        <v>0</v>
      </c>
      <c r="BB12" s="266">
        <f>M12+Z12+AM12</f>
        <v>0</v>
      </c>
      <c r="BC12" s="266">
        <f t="shared" si="4"/>
        <v>0</v>
      </c>
      <c r="BD12" s="266">
        <f t="shared" si="5"/>
        <v>6843143091</v>
      </c>
      <c r="BE12" s="342"/>
      <c r="BF12" s="342"/>
      <c r="BG12" s="342"/>
      <c r="BH12" s="346"/>
      <c r="BJ12" s="347"/>
      <c r="BL12" s="343">
        <f>AT12-BD12</f>
        <v>0</v>
      </c>
    </row>
    <row r="13" spans="1:64" ht="36" hidden="1" outlineLevel="1" x14ac:dyDescent="0.35">
      <c r="A13" s="126" t="s">
        <v>51</v>
      </c>
      <c r="B13" s="290">
        <v>0</v>
      </c>
      <c r="C13" s="266">
        <v>0</v>
      </c>
      <c r="D13" s="266">
        <v>0</v>
      </c>
      <c r="E13" s="266">
        <v>0</v>
      </c>
      <c r="F13" s="266">
        <v>0</v>
      </c>
      <c r="G13" s="266">
        <v>0</v>
      </c>
      <c r="H13" s="266">
        <v>0</v>
      </c>
      <c r="I13" s="266">
        <v>0</v>
      </c>
      <c r="J13" s="266">
        <v>0</v>
      </c>
      <c r="K13" s="266">
        <v>0</v>
      </c>
      <c r="L13" s="266">
        <v>0</v>
      </c>
      <c r="M13" s="266">
        <v>0</v>
      </c>
      <c r="N13" s="266">
        <v>0</v>
      </c>
      <c r="O13" s="266">
        <v>2000000001</v>
      </c>
      <c r="P13" s="266">
        <v>0</v>
      </c>
      <c r="Q13" s="266">
        <v>0</v>
      </c>
      <c r="R13" s="266">
        <v>0</v>
      </c>
      <c r="S13" s="266">
        <v>0</v>
      </c>
      <c r="T13" s="266">
        <f>155015812+539007143</f>
        <v>694022955</v>
      </c>
      <c r="U13" s="266">
        <v>554307184</v>
      </c>
      <c r="V13" s="266">
        <v>473497266</v>
      </c>
      <c r="W13" s="266">
        <v>328640268</v>
      </c>
      <c r="X13" s="266">
        <f>+T13</f>
        <v>694022955</v>
      </c>
      <c r="Y13" s="266">
        <v>554307184</v>
      </c>
      <c r="Z13" s="266">
        <v>473497266</v>
      </c>
      <c r="AA13" s="266">
        <v>328640268</v>
      </c>
      <c r="AB13" s="266">
        <v>17000000000</v>
      </c>
      <c r="AC13" s="266">
        <v>0</v>
      </c>
      <c r="AD13" s="266">
        <v>0</v>
      </c>
      <c r="AE13" s="266">
        <v>0</v>
      </c>
      <c r="AF13" s="266">
        <v>0</v>
      </c>
      <c r="AG13" s="266">
        <f>178277447+1582225782</f>
        <v>1760503229</v>
      </c>
      <c r="AH13" s="266">
        <f>1266838456+213568850</f>
        <v>1480407306</v>
      </c>
      <c r="AI13" s="266">
        <v>1547699036</v>
      </c>
      <c r="AJ13" s="266">
        <v>1356295536</v>
      </c>
      <c r="AK13" s="266">
        <f>AG13</f>
        <v>1760503229</v>
      </c>
      <c r="AL13" s="266">
        <f>1266838456+213568850</f>
        <v>1480407306</v>
      </c>
      <c r="AM13" s="266">
        <v>1547699036</v>
      </c>
      <c r="AN13" s="266">
        <v>1356295536</v>
      </c>
      <c r="AO13" s="266">
        <f>B13+O13+AB13</f>
        <v>19000000001</v>
      </c>
      <c r="AP13" s="266">
        <f>C13+P13+AC13</f>
        <v>0</v>
      </c>
      <c r="AQ13" s="266">
        <f>D13+Q13+AD13</f>
        <v>0</v>
      </c>
      <c r="AR13" s="266">
        <f>E13+R13+AE13</f>
        <v>0</v>
      </c>
      <c r="AS13" s="266">
        <f t="shared" si="0"/>
        <v>0</v>
      </c>
      <c r="AT13" s="266">
        <f t="shared" si="1"/>
        <v>19000000001</v>
      </c>
      <c r="AU13" s="266">
        <f>G13+T13+AG13</f>
        <v>2454526184</v>
      </c>
      <c r="AV13" s="266">
        <f>H13+U13+AH13</f>
        <v>2034714490</v>
      </c>
      <c r="AW13" s="266">
        <f>I13+V13+AI13</f>
        <v>2021196302</v>
      </c>
      <c r="AX13" s="266">
        <f t="shared" si="2"/>
        <v>1684935804</v>
      </c>
      <c r="AY13" s="266">
        <f t="shared" si="3"/>
        <v>8195372780</v>
      </c>
      <c r="AZ13" s="266">
        <f>K13+X13+AK13</f>
        <v>2454526184</v>
      </c>
      <c r="BA13" s="266">
        <f>L13+Y13+AL13</f>
        <v>2034714490</v>
      </c>
      <c r="BB13" s="266">
        <f>M13+Z13+AM13</f>
        <v>2021196302</v>
      </c>
      <c r="BC13" s="266">
        <f t="shared" si="4"/>
        <v>1684935804</v>
      </c>
      <c r="BD13" s="266">
        <f t="shared" si="5"/>
        <v>8195372780</v>
      </c>
      <c r="BE13" s="342"/>
      <c r="BF13" s="342"/>
      <c r="BG13" s="342"/>
      <c r="BH13" s="346"/>
      <c r="BJ13" s="347"/>
      <c r="BK13" s="348">
        <f>+AY11-AT11</f>
        <v>-9158739035.1300011</v>
      </c>
      <c r="BL13" s="343">
        <f>AT13-BD13</f>
        <v>10804627221</v>
      </c>
    </row>
    <row r="14" spans="1:64" ht="32.25" hidden="1" customHeight="1" outlineLevel="1" x14ac:dyDescent="0.35">
      <c r="A14" s="126" t="s">
        <v>52</v>
      </c>
      <c r="B14" s="290">
        <v>0</v>
      </c>
      <c r="C14" s="266">
        <v>0</v>
      </c>
      <c r="D14" s="266">
        <v>0</v>
      </c>
      <c r="E14" s="266">
        <v>0</v>
      </c>
      <c r="F14" s="266">
        <v>0</v>
      </c>
      <c r="G14" s="266">
        <v>0</v>
      </c>
      <c r="H14" s="266">
        <v>0</v>
      </c>
      <c r="I14" s="266">
        <v>0</v>
      </c>
      <c r="J14" s="266">
        <v>0</v>
      </c>
      <c r="K14" s="266">
        <v>0</v>
      </c>
      <c r="L14" s="266">
        <v>0</v>
      </c>
      <c r="M14" s="266">
        <v>0</v>
      </c>
      <c r="N14" s="266">
        <v>0</v>
      </c>
      <c r="O14" s="266">
        <v>0</v>
      </c>
      <c r="P14" s="266">
        <v>0</v>
      </c>
      <c r="Q14" s="266">
        <v>0</v>
      </c>
      <c r="R14" s="266">
        <v>0</v>
      </c>
      <c r="S14" s="266">
        <v>0</v>
      </c>
      <c r="T14" s="266">
        <v>0</v>
      </c>
      <c r="U14" s="266">
        <v>0</v>
      </c>
      <c r="V14" s="266">
        <v>0</v>
      </c>
      <c r="W14" s="266">
        <v>0</v>
      </c>
      <c r="X14" s="266">
        <v>0</v>
      </c>
      <c r="Y14" s="266">
        <v>0</v>
      </c>
      <c r="Z14" s="266">
        <v>0</v>
      </c>
      <c r="AA14" s="266">
        <v>0</v>
      </c>
      <c r="AB14" s="266">
        <v>0</v>
      </c>
      <c r="AC14" s="266">
        <v>0</v>
      </c>
      <c r="AD14" s="266">
        <v>0</v>
      </c>
      <c r="AE14" s="266">
        <v>0</v>
      </c>
      <c r="AF14" s="266">
        <v>0</v>
      </c>
      <c r="AG14" s="266">
        <v>362614184.45999998</v>
      </c>
      <c r="AH14" s="266">
        <f>486221380.48</f>
        <v>486221380.48000002</v>
      </c>
      <c r="AI14" s="266">
        <v>526565888.05000001</v>
      </c>
      <c r="AJ14" s="266">
        <v>270486732.87999994</v>
      </c>
      <c r="AK14" s="266">
        <f>AG14</f>
        <v>362614184.45999998</v>
      </c>
      <c r="AL14" s="266">
        <f>486221380.48</f>
        <v>486221380.48000002</v>
      </c>
      <c r="AM14" s="266">
        <v>526565888.05000001</v>
      </c>
      <c r="AN14" s="266">
        <v>270486732.87999994</v>
      </c>
      <c r="AO14" s="266">
        <f>B14+O14+AB14</f>
        <v>0</v>
      </c>
      <c r="AP14" s="266">
        <f>C14+P14+AC14</f>
        <v>0</v>
      </c>
      <c r="AQ14" s="266">
        <f>D14+Q14+AD14</f>
        <v>0</v>
      </c>
      <c r="AR14" s="266">
        <f>E14+R14+AE14</f>
        <v>0</v>
      </c>
      <c r="AS14" s="266">
        <f t="shared" si="0"/>
        <v>0</v>
      </c>
      <c r="AT14" s="266">
        <f t="shared" si="1"/>
        <v>0</v>
      </c>
      <c r="AU14" s="266">
        <f>G14+T14+AG14</f>
        <v>362614184.45999998</v>
      </c>
      <c r="AV14" s="266">
        <f>H14+U14+AH14</f>
        <v>486221380.48000002</v>
      </c>
      <c r="AW14" s="266">
        <f>I14+V14+AI14</f>
        <v>526565888.05000001</v>
      </c>
      <c r="AX14" s="266">
        <f t="shared" si="2"/>
        <v>270486732.87999994</v>
      </c>
      <c r="AY14" s="266">
        <f t="shared" si="3"/>
        <v>1645888185.8699999</v>
      </c>
      <c r="AZ14" s="266">
        <f>K14+X14+AK14</f>
        <v>362614184.45999998</v>
      </c>
      <c r="BA14" s="266">
        <f>L14+Y14+AL14</f>
        <v>486221380.48000002</v>
      </c>
      <c r="BB14" s="266">
        <f>M14+Z14+AM14</f>
        <v>526565888.05000001</v>
      </c>
      <c r="BC14" s="266">
        <f t="shared" si="4"/>
        <v>270486732.87999994</v>
      </c>
      <c r="BD14" s="266">
        <f t="shared" si="5"/>
        <v>1645888185.8699999</v>
      </c>
      <c r="BE14" s="342"/>
      <c r="BF14" s="342"/>
      <c r="BG14" s="342"/>
      <c r="BH14" s="346"/>
      <c r="BJ14" s="347"/>
      <c r="BK14" s="348"/>
      <c r="BL14" s="343"/>
    </row>
    <row r="15" spans="1:64" ht="23.25" customHeight="1" collapsed="1" x14ac:dyDescent="0.35">
      <c r="A15" s="122" t="s">
        <v>53</v>
      </c>
      <c r="B15" s="129">
        <v>0</v>
      </c>
      <c r="C15" s="129">
        <v>0</v>
      </c>
      <c r="D15" s="129">
        <v>0</v>
      </c>
      <c r="E15" s="129">
        <v>0</v>
      </c>
      <c r="F15" s="129">
        <v>0</v>
      </c>
      <c r="G15" s="129">
        <v>0</v>
      </c>
      <c r="H15" s="129">
        <v>0</v>
      </c>
      <c r="I15" s="129">
        <v>0</v>
      </c>
      <c r="J15" s="129">
        <v>0</v>
      </c>
      <c r="K15" s="129">
        <v>0</v>
      </c>
      <c r="L15" s="129">
        <v>0</v>
      </c>
      <c r="M15" s="129">
        <v>0</v>
      </c>
      <c r="N15" s="129">
        <v>0</v>
      </c>
      <c r="O15" s="120">
        <v>0</v>
      </c>
      <c r="P15" s="120">
        <v>0</v>
      </c>
      <c r="Q15" s="120">
        <v>0</v>
      </c>
      <c r="R15" s="120">
        <v>0</v>
      </c>
      <c r="S15" s="120">
        <v>3172411677</v>
      </c>
      <c r="T15" s="120">
        <v>0</v>
      </c>
      <c r="U15" s="120">
        <v>0</v>
      </c>
      <c r="V15" s="120">
        <v>0</v>
      </c>
      <c r="W15" s="120">
        <v>3172411677</v>
      </c>
      <c r="X15" s="120">
        <v>0</v>
      </c>
      <c r="Y15" s="120">
        <v>0</v>
      </c>
      <c r="Z15" s="120">
        <v>0</v>
      </c>
      <c r="AA15" s="120">
        <v>3172411677</v>
      </c>
      <c r="AB15" s="120">
        <v>0</v>
      </c>
      <c r="AC15" s="120">
        <v>0</v>
      </c>
      <c r="AD15" s="120">
        <v>0</v>
      </c>
      <c r="AE15" s="120">
        <v>0</v>
      </c>
      <c r="AF15" s="120">
        <v>656864720.62000012</v>
      </c>
      <c r="AG15" s="120"/>
      <c r="AH15" s="120">
        <v>0</v>
      </c>
      <c r="AI15" s="120">
        <v>0</v>
      </c>
      <c r="AJ15" s="120">
        <v>656864720.62000012</v>
      </c>
      <c r="AK15" s="120">
        <f>AG15</f>
        <v>0</v>
      </c>
      <c r="AL15" s="120">
        <v>0</v>
      </c>
      <c r="AM15" s="120">
        <v>0</v>
      </c>
      <c r="AN15" s="120">
        <v>656864720.62000012</v>
      </c>
      <c r="AO15" s="301">
        <f>B15+O15+AB15</f>
        <v>0</v>
      </c>
      <c r="AP15" s="301">
        <f>C15+P15+AC15</f>
        <v>0</v>
      </c>
      <c r="AQ15" s="301">
        <f>D15+Q15+AD15</f>
        <v>0</v>
      </c>
      <c r="AR15" s="301">
        <f>E15+R15+AE15</f>
        <v>0</v>
      </c>
      <c r="AS15" s="301">
        <f t="shared" si="0"/>
        <v>3829276397.6199999</v>
      </c>
      <c r="AT15" s="120">
        <f t="shared" si="1"/>
        <v>3829276397.6199999</v>
      </c>
      <c r="AU15" s="301">
        <f>G15+T15+AG15</f>
        <v>0</v>
      </c>
      <c r="AV15" s="301">
        <f>H15+U15+AH15</f>
        <v>0</v>
      </c>
      <c r="AW15" s="301">
        <f>I15+V15+AI15</f>
        <v>0</v>
      </c>
      <c r="AX15" s="301">
        <f t="shared" si="2"/>
        <v>3829276397.6199999</v>
      </c>
      <c r="AY15" s="120">
        <f t="shared" si="3"/>
        <v>3829276397.6199999</v>
      </c>
      <c r="AZ15" s="120">
        <f>K15+X15+AK15</f>
        <v>0</v>
      </c>
      <c r="BA15" s="120">
        <f>L15+Y15+AL15</f>
        <v>0</v>
      </c>
      <c r="BB15" s="301">
        <f>M15+Z15+AM15</f>
        <v>0</v>
      </c>
      <c r="BC15" s="301">
        <f t="shared" si="4"/>
        <v>3829276397.6199999</v>
      </c>
      <c r="BD15" s="120">
        <f t="shared" si="5"/>
        <v>3829276397.6199999</v>
      </c>
      <c r="BE15" s="342"/>
      <c r="BF15" s="342"/>
      <c r="BG15" s="342"/>
      <c r="BH15" s="346" t="s">
        <v>54</v>
      </c>
      <c r="BI15" s="124">
        <v>0</v>
      </c>
      <c r="BL15" s="343">
        <f>AT15-BD15</f>
        <v>0</v>
      </c>
    </row>
    <row r="16" spans="1:64" x14ac:dyDescent="0.35">
      <c r="A16" s="122" t="s">
        <v>22</v>
      </c>
      <c r="B16" s="120">
        <f>B17+B18</f>
        <v>419248813</v>
      </c>
      <c r="C16" s="120">
        <f>C17+C18</f>
        <v>0</v>
      </c>
      <c r="D16" s="120">
        <f>D17+D18</f>
        <v>0</v>
      </c>
      <c r="E16" s="120">
        <f t="shared" ref="E16:F16" si="7">E17+E18</f>
        <v>0</v>
      </c>
      <c r="F16" s="120">
        <f t="shared" si="7"/>
        <v>0</v>
      </c>
      <c r="G16" s="120">
        <f>G18+G17</f>
        <v>105258032</v>
      </c>
      <c r="H16" s="120">
        <f>H18+H17</f>
        <v>40874667</v>
      </c>
      <c r="I16" s="120">
        <f>I18+I17</f>
        <v>40919714</v>
      </c>
      <c r="J16" s="120">
        <f>J18+J17</f>
        <v>107718688</v>
      </c>
      <c r="K16" s="120">
        <f>K18+K17</f>
        <v>105258032</v>
      </c>
      <c r="L16" s="120">
        <f>L18+L17</f>
        <v>40874667</v>
      </c>
      <c r="M16" s="120">
        <f>M18+M17</f>
        <v>40919714</v>
      </c>
      <c r="N16" s="120">
        <f>N18+N17</f>
        <v>107718688</v>
      </c>
      <c r="O16" s="120">
        <f t="shared" ref="O16" si="8">O17+O18</f>
        <v>0</v>
      </c>
      <c r="P16" s="120">
        <f t="shared" ref="P16:AT16" si="9">P17+P18</f>
        <v>0</v>
      </c>
      <c r="Q16" s="120">
        <f t="shared" si="9"/>
        <v>0</v>
      </c>
      <c r="R16" s="120">
        <f t="shared" ref="R16" si="10">R17+R18</f>
        <v>0</v>
      </c>
      <c r="S16" s="120">
        <v>0</v>
      </c>
      <c r="T16" s="120">
        <f t="shared" si="9"/>
        <v>0</v>
      </c>
      <c r="U16" s="120">
        <v>0</v>
      </c>
      <c r="V16" s="120">
        <v>0</v>
      </c>
      <c r="W16" s="120">
        <v>0</v>
      </c>
      <c r="X16" s="120">
        <f t="shared" si="9"/>
        <v>0</v>
      </c>
      <c r="Y16" s="120">
        <v>0</v>
      </c>
      <c r="Z16" s="120">
        <v>0</v>
      </c>
      <c r="AA16" s="120">
        <v>0</v>
      </c>
      <c r="AB16" s="120">
        <f t="shared" ref="AB16" si="11">AB17+AB18</f>
        <v>0</v>
      </c>
      <c r="AC16" s="120">
        <f t="shared" si="9"/>
        <v>0</v>
      </c>
      <c r="AD16" s="120">
        <f t="shared" si="9"/>
        <v>0</v>
      </c>
      <c r="AE16" s="120">
        <f t="shared" ref="AE16" si="12">AE17+AE18</f>
        <v>0</v>
      </c>
      <c r="AF16" s="120">
        <v>0</v>
      </c>
      <c r="AG16" s="120">
        <f t="shared" si="9"/>
        <v>0</v>
      </c>
      <c r="AH16" s="120">
        <f t="shared" ref="AH16:AL16" si="13">AH17+AH18</f>
        <v>0</v>
      </c>
      <c r="AI16" s="120">
        <v>0</v>
      </c>
      <c r="AJ16" s="120">
        <v>0</v>
      </c>
      <c r="AK16" s="120">
        <f t="shared" si="9"/>
        <v>0</v>
      </c>
      <c r="AL16" s="120">
        <f t="shared" si="13"/>
        <v>0</v>
      </c>
      <c r="AM16" s="120">
        <v>0</v>
      </c>
      <c r="AN16" s="120">
        <v>0</v>
      </c>
      <c r="AO16" s="301">
        <f>B16+O16+AB16</f>
        <v>419248813</v>
      </c>
      <c r="AP16" s="301">
        <f>C16+P16+AC16</f>
        <v>0</v>
      </c>
      <c r="AQ16" s="301">
        <f>D16+Q16+AD16</f>
        <v>0</v>
      </c>
      <c r="AR16" s="301">
        <f>E16+R16+AE16</f>
        <v>0</v>
      </c>
      <c r="AS16" s="301">
        <f t="shared" si="0"/>
        <v>0</v>
      </c>
      <c r="AT16" s="120">
        <f t="shared" si="1"/>
        <v>419248813</v>
      </c>
      <c r="AU16" s="301">
        <f>G16+T16+AG16</f>
        <v>105258032</v>
      </c>
      <c r="AV16" s="301">
        <f>H16+U16+AH16</f>
        <v>40874667</v>
      </c>
      <c r="AW16" s="301">
        <f>I16+V16+AI16</f>
        <v>40919714</v>
      </c>
      <c r="AX16" s="301">
        <f t="shared" si="2"/>
        <v>107718688</v>
      </c>
      <c r="AY16" s="120">
        <f t="shared" si="3"/>
        <v>294771101</v>
      </c>
      <c r="AZ16" s="120">
        <f>K16+X16+AK16</f>
        <v>105258032</v>
      </c>
      <c r="BA16" s="120">
        <f>L16+Y16+AL16</f>
        <v>40874667</v>
      </c>
      <c r="BB16" s="301">
        <f>M16+Z16+AM16</f>
        <v>40919714</v>
      </c>
      <c r="BC16" s="301">
        <f t="shared" si="4"/>
        <v>107718688</v>
      </c>
      <c r="BD16" s="120">
        <f t="shared" si="5"/>
        <v>294771101</v>
      </c>
      <c r="BE16" s="120"/>
      <c r="BF16" s="120"/>
      <c r="BG16" s="120"/>
      <c r="BH16" s="346"/>
      <c r="BI16" s="124" t="e">
        <f>AY5+#REF!+AY6+AY7+AY9+AY10+AY11+AY15+AY21+#REF!-BI6-8809905</f>
        <v>#REF!</v>
      </c>
      <c r="BL16" s="343">
        <f>AT16-BD16</f>
        <v>124477712</v>
      </c>
    </row>
    <row r="17" spans="1:64" s="352" customFormat="1" ht="18" hidden="1" outlineLevel="1" x14ac:dyDescent="0.3">
      <c r="A17" s="126" t="s">
        <v>55</v>
      </c>
      <c r="B17" s="266">
        <v>0</v>
      </c>
      <c r="C17" s="266">
        <v>0</v>
      </c>
      <c r="D17" s="266">
        <v>0</v>
      </c>
      <c r="E17" s="266">
        <v>0</v>
      </c>
      <c r="F17" s="266">
        <v>0</v>
      </c>
      <c r="G17" s="266">
        <v>0</v>
      </c>
      <c r="H17" s="266">
        <v>0</v>
      </c>
      <c r="I17" s="266"/>
      <c r="J17" s="266"/>
      <c r="K17" s="266">
        <f>G17</f>
        <v>0</v>
      </c>
      <c r="L17" s="266">
        <v>0</v>
      </c>
      <c r="M17" s="266"/>
      <c r="N17" s="266"/>
      <c r="O17" s="298">
        <v>0</v>
      </c>
      <c r="P17" s="298">
        <v>0</v>
      </c>
      <c r="Q17" s="298">
        <v>0</v>
      </c>
      <c r="R17" s="298">
        <v>0</v>
      </c>
      <c r="S17" s="298">
        <v>0</v>
      </c>
      <c r="T17" s="298">
        <v>0</v>
      </c>
      <c r="U17" s="298">
        <v>0</v>
      </c>
      <c r="V17" s="298">
        <v>0</v>
      </c>
      <c r="W17" s="298">
        <v>0</v>
      </c>
      <c r="X17" s="298">
        <v>0</v>
      </c>
      <c r="Y17" s="298">
        <v>0</v>
      </c>
      <c r="Z17" s="298">
        <v>0</v>
      </c>
      <c r="AA17" s="298">
        <v>0</v>
      </c>
      <c r="AB17" s="298">
        <v>0</v>
      </c>
      <c r="AC17" s="298">
        <v>0</v>
      </c>
      <c r="AD17" s="298">
        <v>0</v>
      </c>
      <c r="AE17" s="298">
        <v>0</v>
      </c>
      <c r="AF17" s="298">
        <v>0</v>
      </c>
      <c r="AG17" s="298">
        <v>0</v>
      </c>
      <c r="AH17" s="298">
        <v>0</v>
      </c>
      <c r="AI17" s="298">
        <v>0</v>
      </c>
      <c r="AJ17" s="298">
        <v>0</v>
      </c>
      <c r="AK17" s="298">
        <v>0</v>
      </c>
      <c r="AL17" s="298">
        <v>0</v>
      </c>
      <c r="AM17" s="298">
        <v>0</v>
      </c>
      <c r="AN17" s="298">
        <v>0</v>
      </c>
      <c r="AO17" s="266">
        <f>B17+O17+AB17</f>
        <v>0</v>
      </c>
      <c r="AP17" s="266">
        <f>C17+P17+AC17</f>
        <v>0</v>
      </c>
      <c r="AQ17" s="266">
        <f>D17+Q17+AD17</f>
        <v>0</v>
      </c>
      <c r="AR17" s="266">
        <f>E17+R17+AE17</f>
        <v>0</v>
      </c>
      <c r="AS17" s="266">
        <f t="shared" si="0"/>
        <v>0</v>
      </c>
      <c r="AT17" s="266">
        <f t="shared" si="1"/>
        <v>0</v>
      </c>
      <c r="AU17" s="266">
        <f>G17+T17+AG17</f>
        <v>0</v>
      </c>
      <c r="AV17" s="266">
        <f>H17+U17+AH17</f>
        <v>0</v>
      </c>
      <c r="AW17" s="266">
        <f>I17+V17+AI17</f>
        <v>0</v>
      </c>
      <c r="AX17" s="266">
        <f t="shared" si="2"/>
        <v>0</v>
      </c>
      <c r="AY17" s="266">
        <f t="shared" si="3"/>
        <v>0</v>
      </c>
      <c r="AZ17" s="266">
        <f>K17+X17+AK17</f>
        <v>0</v>
      </c>
      <c r="BA17" s="266">
        <f>L17+Y17+AL17</f>
        <v>0</v>
      </c>
      <c r="BB17" s="266">
        <f>M17+Z17+AM17</f>
        <v>0</v>
      </c>
      <c r="BC17" s="266">
        <f t="shared" si="4"/>
        <v>0</v>
      </c>
      <c r="BD17" s="266">
        <f t="shared" si="5"/>
        <v>0</v>
      </c>
      <c r="BE17" s="349"/>
      <c r="BF17" s="349"/>
      <c r="BG17" s="349"/>
      <c r="BH17" s="350"/>
      <c r="BI17" s="127"/>
      <c r="BJ17" s="351"/>
    </row>
    <row r="18" spans="1:64" s="352" customFormat="1" ht="18" hidden="1" outlineLevel="1" x14ac:dyDescent="0.3">
      <c r="A18" s="126" t="s">
        <v>56</v>
      </c>
      <c r="B18" s="266">
        <v>419248813</v>
      </c>
      <c r="C18" s="266">
        <v>0</v>
      </c>
      <c r="D18" s="266">
        <v>0</v>
      </c>
      <c r="E18" s="266">
        <v>0</v>
      </c>
      <c r="F18" s="266">
        <v>0</v>
      </c>
      <c r="G18" s="266">
        <v>105258032</v>
      </c>
      <c r="H18" s="266">
        <v>40874667</v>
      </c>
      <c r="I18" s="266">
        <v>40919714</v>
      </c>
      <c r="J18" s="266">
        <v>107718688</v>
      </c>
      <c r="K18" s="266">
        <f>G18</f>
        <v>105258032</v>
      </c>
      <c r="L18" s="266">
        <v>40874667</v>
      </c>
      <c r="M18" s="266">
        <v>40919714</v>
      </c>
      <c r="N18" s="266">
        <v>107718688</v>
      </c>
      <c r="O18" s="298">
        <v>0</v>
      </c>
      <c r="P18" s="298">
        <v>0</v>
      </c>
      <c r="Q18" s="298">
        <v>0</v>
      </c>
      <c r="R18" s="298">
        <v>0</v>
      </c>
      <c r="S18" s="298">
        <v>0</v>
      </c>
      <c r="T18" s="298">
        <v>0</v>
      </c>
      <c r="U18" s="298">
        <v>0</v>
      </c>
      <c r="V18" s="298">
        <v>0</v>
      </c>
      <c r="W18" s="298">
        <v>0</v>
      </c>
      <c r="X18" s="298">
        <v>0</v>
      </c>
      <c r="Y18" s="298">
        <v>0</v>
      </c>
      <c r="Z18" s="298">
        <v>0</v>
      </c>
      <c r="AA18" s="298">
        <v>0</v>
      </c>
      <c r="AB18" s="298">
        <v>0</v>
      </c>
      <c r="AC18" s="298">
        <v>0</v>
      </c>
      <c r="AD18" s="298">
        <v>0</v>
      </c>
      <c r="AE18" s="298">
        <v>0</v>
      </c>
      <c r="AF18" s="298">
        <v>0</v>
      </c>
      <c r="AG18" s="298">
        <v>0</v>
      </c>
      <c r="AH18" s="298">
        <v>0</v>
      </c>
      <c r="AI18" s="298">
        <v>0</v>
      </c>
      <c r="AJ18" s="298">
        <v>0</v>
      </c>
      <c r="AK18" s="298">
        <v>0</v>
      </c>
      <c r="AL18" s="298">
        <v>0</v>
      </c>
      <c r="AM18" s="298">
        <v>0</v>
      </c>
      <c r="AN18" s="298">
        <v>0</v>
      </c>
      <c r="AO18" s="266">
        <f>B18+O18+AB18</f>
        <v>419248813</v>
      </c>
      <c r="AP18" s="266">
        <f>C18+P18+AC18</f>
        <v>0</v>
      </c>
      <c r="AQ18" s="266">
        <f>D18+Q18+AD18</f>
        <v>0</v>
      </c>
      <c r="AR18" s="266">
        <f>E18+R18+AE18</f>
        <v>0</v>
      </c>
      <c r="AS18" s="266">
        <f t="shared" si="0"/>
        <v>0</v>
      </c>
      <c r="AT18" s="266">
        <f t="shared" si="1"/>
        <v>419248813</v>
      </c>
      <c r="AU18" s="266">
        <f>G18+T18+AG18</f>
        <v>105258032</v>
      </c>
      <c r="AV18" s="266">
        <f>H18+U18+AH18</f>
        <v>40874667</v>
      </c>
      <c r="AW18" s="266">
        <f>I18+V18+AI18</f>
        <v>40919714</v>
      </c>
      <c r="AX18" s="266">
        <f t="shared" si="2"/>
        <v>107718688</v>
      </c>
      <c r="AY18" s="266">
        <f t="shared" si="3"/>
        <v>294771101</v>
      </c>
      <c r="AZ18" s="266">
        <f>K18+X18+AK18</f>
        <v>105258032</v>
      </c>
      <c r="BA18" s="266">
        <f>L18+Y18+AL18</f>
        <v>40874667</v>
      </c>
      <c r="BB18" s="266">
        <f>M18+Z18+AM18</f>
        <v>40919714</v>
      </c>
      <c r="BC18" s="266">
        <f t="shared" si="4"/>
        <v>107718688</v>
      </c>
      <c r="BD18" s="266">
        <f t="shared" si="5"/>
        <v>294771101</v>
      </c>
      <c r="BE18" s="349"/>
      <c r="BF18" s="349"/>
      <c r="BG18" s="349"/>
      <c r="BH18" s="350"/>
      <c r="BI18" s="127"/>
      <c r="BJ18" s="351"/>
    </row>
    <row r="19" spans="1:64" collapsed="1" x14ac:dyDescent="0.35">
      <c r="A19" s="114" t="s">
        <v>28</v>
      </c>
      <c r="B19" s="128">
        <f>SUM(B5:B16)</f>
        <v>419248813</v>
      </c>
      <c r="C19" s="128">
        <f>SUM(C5:C16)</f>
        <v>0</v>
      </c>
      <c r="D19" s="128">
        <f>SUM(D5:D16)</f>
        <v>0</v>
      </c>
      <c r="E19" s="128">
        <f t="shared" ref="E19:F19" si="14">SUM(E5:E16)</f>
        <v>0</v>
      </c>
      <c r="F19" s="128">
        <f t="shared" si="14"/>
        <v>0</v>
      </c>
      <c r="G19" s="128">
        <f>SUM(G5:G16)</f>
        <v>105258032</v>
      </c>
      <c r="H19" s="128">
        <f>SUM(H5:H16)</f>
        <v>40874667</v>
      </c>
      <c r="I19" s="128">
        <f>SUM(I5:I16)</f>
        <v>40919714</v>
      </c>
      <c r="J19" s="128">
        <f>SUM(J5:J16)</f>
        <v>107718688</v>
      </c>
      <c r="K19" s="128">
        <f>SUM(K5:K16)</f>
        <v>105258032</v>
      </c>
      <c r="L19" s="128">
        <f>SUM(L5:L16)</f>
        <v>40874667</v>
      </c>
      <c r="M19" s="128">
        <f>SUM(M5:M16)</f>
        <v>40919714</v>
      </c>
      <c r="N19" s="128">
        <f>SUM(N5:N16)</f>
        <v>107718688</v>
      </c>
      <c r="O19" s="299">
        <f>SUM(O5:O11)+O15+O16</f>
        <v>210694680003</v>
      </c>
      <c r="P19" s="299">
        <f>SUM(P5:P11)+P15+P16</f>
        <v>64957378514</v>
      </c>
      <c r="Q19" s="299">
        <f>SUM(Q5:Q11)+Q15+Q16</f>
        <v>0</v>
      </c>
      <c r="R19" s="299">
        <f>SUM(R5:R11)+R15+R16</f>
        <v>0</v>
      </c>
      <c r="S19" s="299">
        <v>3172411677</v>
      </c>
      <c r="T19" s="299">
        <f>SUM(T5:T11)+T15+T16</f>
        <v>68506076218</v>
      </c>
      <c r="U19" s="299">
        <f>SUM(U5:U11)+U15+U16</f>
        <v>652769522.25</v>
      </c>
      <c r="V19" s="299">
        <f>SUM(V5:V11)+V15+V16</f>
        <v>699660223.00999999</v>
      </c>
      <c r="W19" s="299">
        <v>210402425553</v>
      </c>
      <c r="X19" s="299">
        <f>SUM(X5:X11)+X15+X16</f>
        <v>68506076218</v>
      </c>
      <c r="Y19" s="299">
        <f>SUM(Y5:Y11)+Y15+Y16</f>
        <v>652769522.25</v>
      </c>
      <c r="Z19" s="321">
        <f>SUM(Z5:Z11)+Z15+Z16</f>
        <v>699660223.00999999</v>
      </c>
      <c r="AA19" s="321">
        <f>SUM(AA5:AA11)+AA15+AA16</f>
        <v>4453906553</v>
      </c>
      <c r="AB19" s="128">
        <f>SUM(AB5:AB11)+AB15+AB16</f>
        <v>169192078550</v>
      </c>
      <c r="AC19" s="128">
        <f>SUM(AC5:AC11)+AC15+AC16</f>
        <v>61618572632</v>
      </c>
      <c r="AD19" s="128">
        <f>SUM(AD5:AD11)+AD15+AD16</f>
        <v>0</v>
      </c>
      <c r="AE19" s="128">
        <f>SUM(AE5:AE11)+AE15+AE16</f>
        <v>0</v>
      </c>
      <c r="AF19" s="128">
        <v>656864720.61999512</v>
      </c>
      <c r="AG19" s="128">
        <f>SUM(AG5:AG11)+AG15+AG16</f>
        <v>97812428420.460007</v>
      </c>
      <c r="AH19" s="128">
        <f>SUM(AH5:AH11)+AH15+AH16</f>
        <v>3645461536.0799999</v>
      </c>
      <c r="AI19" s="128">
        <f t="shared" ref="AI19:AJ19" si="15">SUM(AI5:AI11)+AI15+AI16</f>
        <v>2836798859.0500002</v>
      </c>
      <c r="AJ19" s="128">
        <f t="shared" si="15"/>
        <v>34746018789.500008</v>
      </c>
      <c r="AK19" s="128">
        <f>SUM(AK5:AK11)+AK15+AK16</f>
        <v>97812428420.460007</v>
      </c>
      <c r="AL19" s="128">
        <f>SUM(AL5:AL11)+AL15+AL16</f>
        <v>3645461536.0799999</v>
      </c>
      <c r="AM19" s="128">
        <v>2836798859.0500002</v>
      </c>
      <c r="AN19" s="128">
        <f t="shared" ref="AN19" si="16">SUM(AN5:AN11)+AN15+AN16</f>
        <v>34746018789.500008</v>
      </c>
      <c r="AO19" s="128">
        <f>SUM(AO5:AO11)+AO15+AO16</f>
        <v>380306007366</v>
      </c>
      <c r="AP19" s="128">
        <f>SUM(AP5:AP11)+AP15+AP16</f>
        <v>126575951146</v>
      </c>
      <c r="AQ19" s="128">
        <f t="shared" ref="AQ19:BD19" si="17">SUM(AQ5:AQ11)+AQ15+AQ16</f>
        <v>0</v>
      </c>
      <c r="AR19" s="128">
        <f t="shared" si="17"/>
        <v>0</v>
      </c>
      <c r="AS19" s="128">
        <f t="shared" si="17"/>
        <v>3829276397.6199999</v>
      </c>
      <c r="AT19" s="128">
        <f t="shared" si="17"/>
        <v>510711234909.62</v>
      </c>
      <c r="AU19" s="128">
        <f t="shared" si="17"/>
        <v>166423762670.45999</v>
      </c>
      <c r="AV19" s="128">
        <f t="shared" si="17"/>
        <v>4339105725.3299999</v>
      </c>
      <c r="AW19" s="128">
        <f t="shared" si="17"/>
        <v>3577378796.0600004</v>
      </c>
      <c r="AX19" s="128">
        <f t="shared" si="17"/>
        <v>245256163030.5</v>
      </c>
      <c r="AY19" s="128">
        <f t="shared" si="17"/>
        <v>419596410222.34998</v>
      </c>
      <c r="AZ19" s="128">
        <f t="shared" si="17"/>
        <v>166423762670.45999</v>
      </c>
      <c r="BA19" s="128">
        <f t="shared" si="17"/>
        <v>4339105725.3299999</v>
      </c>
      <c r="BB19" s="128">
        <f t="shared" si="17"/>
        <v>3577378796.0600004</v>
      </c>
      <c r="BC19" s="128">
        <f t="shared" si="17"/>
        <v>39307644030.500008</v>
      </c>
      <c r="BD19" s="128">
        <f t="shared" si="17"/>
        <v>213647891222.34998</v>
      </c>
      <c r="BE19" s="343"/>
      <c r="BI19" s="341" t="e">
        <f>BI7-BI16</f>
        <v>#REF!</v>
      </c>
    </row>
    <row r="20" spans="1:64" ht="26.25" customHeight="1" x14ac:dyDescent="0.35">
      <c r="A20" s="123" t="s">
        <v>30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300"/>
      <c r="P20" s="300"/>
      <c r="Q20" s="300"/>
      <c r="R20" s="300"/>
      <c r="S20" s="300"/>
      <c r="T20" s="300"/>
      <c r="U20" s="300"/>
      <c r="V20" s="300"/>
      <c r="W20" s="300">
        <v>0</v>
      </c>
      <c r="X20" s="300"/>
      <c r="Y20" s="300">
        <v>0</v>
      </c>
      <c r="Z20" s="300">
        <v>0</v>
      </c>
      <c r="AA20" s="120">
        <v>0</v>
      </c>
      <c r="AB20" s="302"/>
      <c r="AC20" s="302"/>
      <c r="AD20" s="302"/>
      <c r="AE20" s="302"/>
      <c r="AF20" s="302"/>
      <c r="AG20" s="302"/>
      <c r="AH20" s="302"/>
      <c r="AI20" s="302"/>
      <c r="AJ20" s="302"/>
      <c r="AK20" s="302"/>
      <c r="AL20" s="302"/>
      <c r="AM20" s="302">
        <v>0</v>
      </c>
      <c r="AN20" s="302">
        <v>0</v>
      </c>
      <c r="AO20" s="302"/>
      <c r="AP20" s="302"/>
      <c r="AQ20" s="302"/>
      <c r="AR20" s="302"/>
      <c r="AS20" s="301"/>
      <c r="AT20" s="120"/>
      <c r="AU20" s="302"/>
      <c r="AV20" s="302"/>
      <c r="AW20" s="302"/>
      <c r="AX20" s="301">
        <f t="shared" si="2"/>
        <v>0</v>
      </c>
      <c r="AY20" s="120">
        <f t="shared" si="3"/>
        <v>0</v>
      </c>
      <c r="AZ20" s="268"/>
      <c r="BA20" s="268"/>
      <c r="BB20" s="302"/>
      <c r="BC20" s="302"/>
      <c r="BD20" s="120">
        <f t="shared" si="5"/>
        <v>0</v>
      </c>
      <c r="BE20" s="353"/>
      <c r="BF20" s="353"/>
      <c r="BG20" s="353"/>
      <c r="BH20" s="353"/>
    </row>
    <row r="21" spans="1:64" ht="36" x14ac:dyDescent="0.35">
      <c r="A21" s="130" t="s">
        <v>57</v>
      </c>
      <c r="B21" s="129">
        <v>0</v>
      </c>
      <c r="C21" s="129">
        <v>0</v>
      </c>
      <c r="D21" s="129">
        <v>0</v>
      </c>
      <c r="E21" s="129">
        <v>0</v>
      </c>
      <c r="F21" s="129">
        <v>0</v>
      </c>
      <c r="G21" s="129">
        <v>0</v>
      </c>
      <c r="H21" s="129">
        <v>0</v>
      </c>
      <c r="I21" s="129">
        <v>0</v>
      </c>
      <c r="J21" s="129">
        <v>0</v>
      </c>
      <c r="K21" s="129">
        <v>0</v>
      </c>
      <c r="L21" s="129">
        <v>0</v>
      </c>
      <c r="M21" s="129">
        <v>0</v>
      </c>
      <c r="N21" s="129">
        <v>0</v>
      </c>
      <c r="O21" s="120">
        <v>342247248</v>
      </c>
      <c r="P21" s="120">
        <v>0</v>
      </c>
      <c r="Q21" s="120">
        <v>0</v>
      </c>
      <c r="R21" s="120">
        <v>0</v>
      </c>
      <c r="S21" s="120">
        <v>0</v>
      </c>
      <c r="T21" s="120">
        <v>1023561</v>
      </c>
      <c r="U21" s="120">
        <v>12855576</v>
      </c>
      <c r="V21" s="120">
        <v>307416304</v>
      </c>
      <c r="W21" s="120">
        <v>0</v>
      </c>
      <c r="X21" s="120">
        <f>+T21</f>
        <v>1023561</v>
      </c>
      <c r="Y21" s="120">
        <v>12855576</v>
      </c>
      <c r="Z21" s="120">
        <v>307416304</v>
      </c>
      <c r="AA21" s="120">
        <v>0</v>
      </c>
      <c r="AB21" s="301">
        <v>0</v>
      </c>
      <c r="AC21" s="301">
        <v>0</v>
      </c>
      <c r="AD21" s="301">
        <v>0</v>
      </c>
      <c r="AE21" s="301">
        <v>0</v>
      </c>
      <c r="AF21" s="301">
        <v>0</v>
      </c>
      <c r="AG21" s="301">
        <v>0</v>
      </c>
      <c r="AH21" s="301">
        <v>0</v>
      </c>
      <c r="AI21" s="301">
        <v>0</v>
      </c>
      <c r="AJ21" s="301">
        <v>0</v>
      </c>
      <c r="AK21" s="301">
        <v>0</v>
      </c>
      <c r="AL21" s="301">
        <v>0</v>
      </c>
      <c r="AM21" s="301">
        <v>0</v>
      </c>
      <c r="AN21" s="301">
        <v>0</v>
      </c>
      <c r="AO21" s="301">
        <f>B21+O21+AB21</f>
        <v>342247248</v>
      </c>
      <c r="AP21" s="301">
        <f>C21+P21+AC21</f>
        <v>0</v>
      </c>
      <c r="AQ21" s="301">
        <f>D21+Q21+AD21</f>
        <v>0</v>
      </c>
      <c r="AR21" s="301">
        <f>E21+R21+AE21</f>
        <v>0</v>
      </c>
      <c r="AS21" s="301">
        <f t="shared" si="0"/>
        <v>0</v>
      </c>
      <c r="AT21" s="120">
        <f t="shared" si="1"/>
        <v>342247248</v>
      </c>
      <c r="AU21" s="301">
        <f>G21+T21+AG21</f>
        <v>1023561</v>
      </c>
      <c r="AV21" s="301">
        <f>H21+U21+AH21</f>
        <v>12855576</v>
      </c>
      <c r="AW21" s="301">
        <f>I21+V21+AI21</f>
        <v>307416304</v>
      </c>
      <c r="AX21" s="301">
        <f t="shared" si="2"/>
        <v>0</v>
      </c>
      <c r="AY21" s="120">
        <f t="shared" si="3"/>
        <v>321295441</v>
      </c>
      <c r="AZ21" s="120">
        <f>K21+X21+AK21</f>
        <v>1023561</v>
      </c>
      <c r="BA21" s="120">
        <f>L21+Y21+AL21</f>
        <v>12855576</v>
      </c>
      <c r="BB21" s="301">
        <f>M21+Z21+AM21</f>
        <v>307416304</v>
      </c>
      <c r="BC21" s="301">
        <f t="shared" si="4"/>
        <v>0</v>
      </c>
      <c r="BD21" s="120">
        <f t="shared" si="5"/>
        <v>321295441</v>
      </c>
      <c r="BE21" s="342"/>
      <c r="BF21" s="342"/>
      <c r="BG21" s="342"/>
      <c r="BH21" s="343"/>
      <c r="BL21" s="343">
        <f>AT21-BD21</f>
        <v>20951807</v>
      </c>
    </row>
    <row r="22" spans="1:64" x14ac:dyDescent="0.35">
      <c r="A22" s="130" t="s">
        <v>58</v>
      </c>
      <c r="B22" s="129">
        <v>0</v>
      </c>
      <c r="C22" s="129">
        <v>0</v>
      </c>
      <c r="D22" s="129">
        <v>0</v>
      </c>
      <c r="E22" s="129">
        <v>0</v>
      </c>
      <c r="F22" s="129">
        <v>0</v>
      </c>
      <c r="G22" s="129">
        <v>0</v>
      </c>
      <c r="H22" s="129">
        <v>0</v>
      </c>
      <c r="I22" s="129">
        <v>0</v>
      </c>
      <c r="J22" s="129">
        <v>0</v>
      </c>
      <c r="K22" s="129">
        <v>0</v>
      </c>
      <c r="L22" s="129">
        <v>0</v>
      </c>
      <c r="M22" s="129">
        <v>0</v>
      </c>
      <c r="N22" s="129">
        <v>0</v>
      </c>
      <c r="O22" s="120">
        <f>O23+O24</f>
        <v>3600000000</v>
      </c>
      <c r="P22" s="120">
        <f>P23+P24</f>
        <v>752114484</v>
      </c>
      <c r="Q22" s="120">
        <f>Q23+Q24</f>
        <v>0</v>
      </c>
      <c r="R22" s="120">
        <f>R23+R24</f>
        <v>0</v>
      </c>
      <c r="S22" s="120">
        <v>0</v>
      </c>
      <c r="T22" s="120">
        <f>T23+T24</f>
        <v>1128661123</v>
      </c>
      <c r="U22" s="120">
        <v>342376571</v>
      </c>
      <c r="V22" s="120">
        <v>364124544</v>
      </c>
      <c r="W22" s="120">
        <v>343801033</v>
      </c>
      <c r="X22" s="120">
        <f>+T22</f>
        <v>1128661123</v>
      </c>
      <c r="Y22" s="120">
        <v>342376571</v>
      </c>
      <c r="Z22" s="120">
        <v>364124544</v>
      </c>
      <c r="AA22" s="120">
        <v>343801033</v>
      </c>
      <c r="AB22" s="301">
        <v>0</v>
      </c>
      <c r="AC22" s="301">
        <v>0</v>
      </c>
      <c r="AD22" s="301">
        <v>0</v>
      </c>
      <c r="AE22" s="301">
        <v>0</v>
      </c>
      <c r="AF22" s="301">
        <v>0</v>
      </c>
      <c r="AG22" s="301">
        <v>0</v>
      </c>
      <c r="AH22" s="301">
        <v>0</v>
      </c>
      <c r="AI22" s="301">
        <v>0</v>
      </c>
      <c r="AJ22" s="301">
        <v>0</v>
      </c>
      <c r="AK22" s="301">
        <v>0</v>
      </c>
      <c r="AL22" s="301">
        <v>0</v>
      </c>
      <c r="AM22" s="301">
        <v>0</v>
      </c>
      <c r="AN22" s="301">
        <v>0</v>
      </c>
      <c r="AO22" s="301">
        <f>B22+O22+AB22</f>
        <v>3600000000</v>
      </c>
      <c r="AP22" s="301">
        <f>C22+P22+AC22</f>
        <v>752114484</v>
      </c>
      <c r="AQ22" s="301">
        <f>D22+Q22+AD22</f>
        <v>0</v>
      </c>
      <c r="AR22" s="301">
        <f>E22+R22+AE22</f>
        <v>0</v>
      </c>
      <c r="AS22" s="301">
        <f t="shared" si="0"/>
        <v>0</v>
      </c>
      <c r="AT22" s="120">
        <f t="shared" si="1"/>
        <v>4352114484</v>
      </c>
      <c r="AU22" s="301">
        <f>G22+T22+AG22</f>
        <v>1128661123</v>
      </c>
      <c r="AV22" s="301">
        <f>H22+U22+AH22</f>
        <v>342376571</v>
      </c>
      <c r="AW22" s="301">
        <f>I22+V22+AI22</f>
        <v>364124544</v>
      </c>
      <c r="AX22" s="301">
        <f t="shared" si="2"/>
        <v>343801033</v>
      </c>
      <c r="AY22" s="120">
        <f t="shared" si="3"/>
        <v>2178963271</v>
      </c>
      <c r="AZ22" s="120">
        <f>K22+X22+AK22</f>
        <v>1128661123</v>
      </c>
      <c r="BA22" s="120">
        <f>L22+Y22+AL22</f>
        <v>342376571</v>
      </c>
      <c r="BB22" s="301">
        <f>M22+Z22+AM22</f>
        <v>364124544</v>
      </c>
      <c r="BC22" s="301">
        <f t="shared" si="4"/>
        <v>343801033</v>
      </c>
      <c r="BD22" s="120">
        <f t="shared" si="5"/>
        <v>2178963271</v>
      </c>
      <c r="BE22" s="342"/>
      <c r="BF22" s="342"/>
      <c r="BG22" s="342"/>
      <c r="BH22" s="343"/>
      <c r="BL22" s="343">
        <f>AT22-BD22</f>
        <v>2173151213</v>
      </c>
    </row>
    <row r="23" spans="1:64" ht="36" hidden="1" outlineLevel="1" x14ac:dyDescent="0.35">
      <c r="A23" s="126" t="s">
        <v>50</v>
      </c>
      <c r="B23" s="291">
        <v>0</v>
      </c>
      <c r="C23" s="291">
        <v>0</v>
      </c>
      <c r="D23" s="291">
        <v>0</v>
      </c>
      <c r="E23" s="291">
        <v>0</v>
      </c>
      <c r="F23" s="291">
        <v>0</v>
      </c>
      <c r="G23" s="291">
        <v>0</v>
      </c>
      <c r="H23" s="291">
        <v>0</v>
      </c>
      <c r="I23" s="291">
        <v>0</v>
      </c>
      <c r="J23" s="291">
        <v>0</v>
      </c>
      <c r="K23" s="293">
        <v>0</v>
      </c>
      <c r="L23" s="291">
        <v>0</v>
      </c>
      <c r="M23" s="291">
        <v>0</v>
      </c>
      <c r="N23" s="291">
        <v>0</v>
      </c>
      <c r="O23" s="266">
        <v>0</v>
      </c>
      <c r="P23" s="266">
        <v>752114484</v>
      </c>
      <c r="Q23" s="266">
        <v>0</v>
      </c>
      <c r="R23" s="266">
        <v>0</v>
      </c>
      <c r="S23" s="266">
        <v>0</v>
      </c>
      <c r="T23" s="266">
        <v>752114484</v>
      </c>
      <c r="U23" s="266">
        <v>0</v>
      </c>
      <c r="V23" s="266">
        <v>0</v>
      </c>
      <c r="W23" s="266">
        <v>0</v>
      </c>
      <c r="X23" s="266">
        <v>752114484</v>
      </c>
      <c r="Y23" s="266">
        <v>0</v>
      </c>
      <c r="Z23" s="266">
        <v>0</v>
      </c>
      <c r="AA23" s="266">
        <v>0</v>
      </c>
      <c r="AB23" s="266">
        <v>0</v>
      </c>
      <c r="AC23" s="266">
        <v>0</v>
      </c>
      <c r="AD23" s="266">
        <v>0</v>
      </c>
      <c r="AE23" s="266">
        <v>0</v>
      </c>
      <c r="AF23" s="266">
        <v>0</v>
      </c>
      <c r="AG23" s="266">
        <v>0</v>
      </c>
      <c r="AH23" s="266">
        <v>0</v>
      </c>
      <c r="AI23" s="266">
        <v>0</v>
      </c>
      <c r="AJ23" s="266">
        <v>0</v>
      </c>
      <c r="AK23" s="266">
        <f>AG23</f>
        <v>0</v>
      </c>
      <c r="AL23" s="266">
        <v>0</v>
      </c>
      <c r="AM23" s="266">
        <v>0</v>
      </c>
      <c r="AN23" s="266">
        <v>0</v>
      </c>
      <c r="AO23" s="266">
        <f>B23+O23+AB23</f>
        <v>0</v>
      </c>
      <c r="AP23" s="266">
        <f>C23+P23+AC23</f>
        <v>752114484</v>
      </c>
      <c r="AQ23" s="266">
        <f>D23+Q23+AD23</f>
        <v>0</v>
      </c>
      <c r="AR23" s="266">
        <f>E23+R23+AE23</f>
        <v>0</v>
      </c>
      <c r="AS23" s="266">
        <f t="shared" si="0"/>
        <v>0</v>
      </c>
      <c r="AT23" s="266">
        <f t="shared" si="1"/>
        <v>752114484</v>
      </c>
      <c r="AU23" s="266">
        <f>G23+T23+AG23</f>
        <v>752114484</v>
      </c>
      <c r="AV23" s="266">
        <f>H23+U23+AH23</f>
        <v>0</v>
      </c>
      <c r="AW23" s="266">
        <f>I23+V23+AI23</f>
        <v>0</v>
      </c>
      <c r="AX23" s="266">
        <f t="shared" si="2"/>
        <v>0</v>
      </c>
      <c r="AY23" s="266">
        <f t="shared" si="3"/>
        <v>752114484</v>
      </c>
      <c r="AZ23" s="266">
        <f>K23+X23+AK23</f>
        <v>752114484</v>
      </c>
      <c r="BA23" s="266">
        <f>L23+Y23+AL23</f>
        <v>0</v>
      </c>
      <c r="BB23" s="266">
        <f>M23+Z23+AM23</f>
        <v>0</v>
      </c>
      <c r="BC23" s="266">
        <f t="shared" si="4"/>
        <v>0</v>
      </c>
      <c r="BD23" s="266">
        <f t="shared" si="5"/>
        <v>752114484</v>
      </c>
      <c r="BE23" s="342"/>
      <c r="BF23" s="342"/>
      <c r="BG23" s="342"/>
      <c r="BH23" s="346"/>
      <c r="BJ23" s="347"/>
      <c r="BL23" s="343">
        <f>AT23-BD23</f>
        <v>0</v>
      </c>
    </row>
    <row r="24" spans="1:64" ht="36" hidden="1" outlineLevel="1" x14ac:dyDescent="0.35">
      <c r="A24" s="126" t="s">
        <v>51</v>
      </c>
      <c r="B24" s="291">
        <v>0</v>
      </c>
      <c r="C24" s="291">
        <v>0</v>
      </c>
      <c r="D24" s="291">
        <v>0</v>
      </c>
      <c r="E24" s="291">
        <v>0</v>
      </c>
      <c r="F24" s="291">
        <v>0</v>
      </c>
      <c r="G24" s="291">
        <v>0</v>
      </c>
      <c r="H24" s="291">
        <v>0</v>
      </c>
      <c r="I24" s="291">
        <v>0</v>
      </c>
      <c r="J24" s="291">
        <v>0</v>
      </c>
      <c r="K24" s="293">
        <v>0</v>
      </c>
      <c r="L24" s="291">
        <v>0</v>
      </c>
      <c r="M24" s="291">
        <v>0</v>
      </c>
      <c r="N24" s="291">
        <v>0</v>
      </c>
      <c r="O24" s="266">
        <v>3600000000</v>
      </c>
      <c r="P24" s="266">
        <v>0</v>
      </c>
      <c r="Q24" s="266">
        <v>0</v>
      </c>
      <c r="R24" s="266">
        <v>0</v>
      </c>
      <c r="S24" s="266">
        <v>0</v>
      </c>
      <c r="T24" s="266">
        <v>376546639</v>
      </c>
      <c r="U24" s="266">
        <v>342376571</v>
      </c>
      <c r="V24" s="266">
        <v>364124544</v>
      </c>
      <c r="W24" s="266">
        <v>343801033</v>
      </c>
      <c r="X24" s="266">
        <f>+T24</f>
        <v>376546639</v>
      </c>
      <c r="Y24" s="266">
        <v>342376571</v>
      </c>
      <c r="Z24" s="266">
        <v>364124544</v>
      </c>
      <c r="AA24" s="266">
        <v>343801033</v>
      </c>
      <c r="AB24" s="266">
        <v>0</v>
      </c>
      <c r="AC24" s="266">
        <v>0</v>
      </c>
      <c r="AD24" s="266">
        <v>0</v>
      </c>
      <c r="AE24" s="266">
        <v>0</v>
      </c>
      <c r="AF24" s="266">
        <v>0</v>
      </c>
      <c r="AG24" s="266">
        <v>0</v>
      </c>
      <c r="AH24" s="266">
        <v>0</v>
      </c>
      <c r="AI24" s="266">
        <v>0</v>
      </c>
      <c r="AJ24" s="266">
        <v>0</v>
      </c>
      <c r="AK24" s="266">
        <f>AG24</f>
        <v>0</v>
      </c>
      <c r="AL24" s="266">
        <v>0</v>
      </c>
      <c r="AM24" s="266">
        <v>0</v>
      </c>
      <c r="AN24" s="266">
        <v>0</v>
      </c>
      <c r="AO24" s="266">
        <f>B24+O24+AB24</f>
        <v>3600000000</v>
      </c>
      <c r="AP24" s="266">
        <f>C24+P24+AC24</f>
        <v>0</v>
      </c>
      <c r="AQ24" s="266">
        <f>D24+Q24+AD24</f>
        <v>0</v>
      </c>
      <c r="AR24" s="266">
        <f>E24+R24+AE24</f>
        <v>0</v>
      </c>
      <c r="AS24" s="266">
        <f t="shared" si="0"/>
        <v>0</v>
      </c>
      <c r="AT24" s="266">
        <f t="shared" si="1"/>
        <v>3600000000</v>
      </c>
      <c r="AU24" s="266">
        <f>G24+T24+AG24</f>
        <v>376546639</v>
      </c>
      <c r="AV24" s="266">
        <f>H24+U24+AH24</f>
        <v>342376571</v>
      </c>
      <c r="AW24" s="266">
        <f>I24+V24+AI24</f>
        <v>364124544</v>
      </c>
      <c r="AX24" s="266">
        <f t="shared" si="2"/>
        <v>343801033</v>
      </c>
      <c r="AY24" s="266">
        <f t="shared" si="3"/>
        <v>1426848787</v>
      </c>
      <c r="AZ24" s="266">
        <f>K24+X24+AK24</f>
        <v>376546639</v>
      </c>
      <c r="BA24" s="266">
        <f>L24+Y24+AL24</f>
        <v>342376571</v>
      </c>
      <c r="BB24" s="266">
        <f>M24+Z24+AM24</f>
        <v>364124544</v>
      </c>
      <c r="BC24" s="266">
        <f t="shared" si="4"/>
        <v>343801033</v>
      </c>
      <c r="BD24" s="266">
        <f t="shared" si="5"/>
        <v>1426848787</v>
      </c>
      <c r="BE24" s="342"/>
      <c r="BF24" s="342"/>
      <c r="BG24" s="342"/>
      <c r="BH24" s="346"/>
      <c r="BJ24" s="347"/>
      <c r="BK24" s="348">
        <f>+AY22-AT22</f>
        <v>-2173151213</v>
      </c>
      <c r="BL24" s="343">
        <f>AT24-BD24</f>
        <v>2173151213</v>
      </c>
    </row>
    <row r="25" spans="1:64" collapsed="1" x14ac:dyDescent="0.35">
      <c r="A25" s="130" t="s">
        <v>59</v>
      </c>
      <c r="B25" s="129">
        <v>0</v>
      </c>
      <c r="C25" s="129">
        <v>0</v>
      </c>
      <c r="D25" s="129">
        <v>0</v>
      </c>
      <c r="E25" s="129">
        <v>0</v>
      </c>
      <c r="F25" s="129">
        <v>0</v>
      </c>
      <c r="G25" s="129">
        <v>0</v>
      </c>
      <c r="H25" s="129">
        <v>0</v>
      </c>
      <c r="I25" s="129">
        <v>0</v>
      </c>
      <c r="J25" s="129">
        <v>0</v>
      </c>
      <c r="K25" s="129">
        <v>0</v>
      </c>
      <c r="L25" s="129">
        <v>0</v>
      </c>
      <c r="M25" s="129">
        <v>0</v>
      </c>
      <c r="N25" s="129">
        <v>0</v>
      </c>
      <c r="O25" s="120">
        <v>0</v>
      </c>
      <c r="P25" s="120">
        <v>3393183786</v>
      </c>
      <c r="Q25" s="120">
        <v>0</v>
      </c>
      <c r="R25" s="120">
        <v>0</v>
      </c>
      <c r="S25" s="120">
        <v>0</v>
      </c>
      <c r="T25" s="120">
        <v>0</v>
      </c>
      <c r="U25" s="120">
        <v>0</v>
      </c>
      <c r="V25" s="120">
        <v>0</v>
      </c>
      <c r="W25" s="120">
        <v>3393183786</v>
      </c>
      <c r="X25" s="120">
        <v>0</v>
      </c>
      <c r="Y25" s="120">
        <v>0</v>
      </c>
      <c r="Z25" s="120">
        <v>0</v>
      </c>
      <c r="AA25" s="120">
        <v>3393183786</v>
      </c>
      <c r="AB25" s="118">
        <v>0</v>
      </c>
      <c r="AC25" s="118">
        <v>0</v>
      </c>
      <c r="AD25" s="118">
        <v>0</v>
      </c>
      <c r="AE25" s="118">
        <v>0</v>
      </c>
      <c r="AF25" s="118">
        <v>0</v>
      </c>
      <c r="AG25" s="118">
        <v>0</v>
      </c>
      <c r="AH25" s="118">
        <v>0</v>
      </c>
      <c r="AI25" s="118">
        <v>0</v>
      </c>
      <c r="AJ25" s="118">
        <v>0</v>
      </c>
      <c r="AK25" s="118">
        <v>0</v>
      </c>
      <c r="AL25" s="118">
        <v>0</v>
      </c>
      <c r="AM25" s="118">
        <v>0</v>
      </c>
      <c r="AN25" s="118">
        <v>0</v>
      </c>
      <c r="AO25" s="301">
        <f>B25+O25+AB25</f>
        <v>0</v>
      </c>
      <c r="AP25" s="301">
        <f>C25+P25+AC25</f>
        <v>3393183786</v>
      </c>
      <c r="AQ25" s="301">
        <f>D25+Q25+AD25</f>
        <v>0</v>
      </c>
      <c r="AR25" s="301">
        <f>E25+R25+AE25</f>
        <v>0</v>
      </c>
      <c r="AS25" s="301">
        <f t="shared" si="0"/>
        <v>0</v>
      </c>
      <c r="AT25" s="120">
        <f t="shared" si="1"/>
        <v>3393183786</v>
      </c>
      <c r="AU25" s="301">
        <f>G25+T25+AG25</f>
        <v>0</v>
      </c>
      <c r="AV25" s="301">
        <f>H25+U25+AH25</f>
        <v>0</v>
      </c>
      <c r="AW25" s="301">
        <f>I25+V25+AI25</f>
        <v>0</v>
      </c>
      <c r="AX25" s="301">
        <f t="shared" si="2"/>
        <v>3393183786</v>
      </c>
      <c r="AY25" s="120">
        <f t="shared" si="3"/>
        <v>3393183786</v>
      </c>
      <c r="AZ25" s="120">
        <f>K25+X25+AK25</f>
        <v>0</v>
      </c>
      <c r="BA25" s="120">
        <f>L25+Y25+AL25</f>
        <v>0</v>
      </c>
      <c r="BB25" s="301">
        <f>M25+Z25+AM25</f>
        <v>0</v>
      </c>
      <c r="BC25" s="301">
        <f t="shared" si="4"/>
        <v>3393183786</v>
      </c>
      <c r="BD25" s="120">
        <f t="shared" si="5"/>
        <v>3393183786</v>
      </c>
      <c r="BE25" s="342"/>
      <c r="BF25" s="342"/>
      <c r="BG25" s="342"/>
      <c r="BH25" s="343"/>
      <c r="BL25" s="343"/>
    </row>
    <row r="26" spans="1:64" collapsed="1" x14ac:dyDescent="0.35">
      <c r="A26" s="130" t="s">
        <v>60</v>
      </c>
      <c r="B26" s="129">
        <v>0</v>
      </c>
      <c r="C26" s="129">
        <v>0</v>
      </c>
      <c r="D26" s="129">
        <v>0</v>
      </c>
      <c r="E26" s="129">
        <v>0</v>
      </c>
      <c r="F26" s="129">
        <v>0</v>
      </c>
      <c r="G26" s="129">
        <v>0</v>
      </c>
      <c r="H26" s="129">
        <v>0</v>
      </c>
      <c r="I26" s="129">
        <v>0</v>
      </c>
      <c r="J26" s="129">
        <v>0</v>
      </c>
      <c r="K26" s="129">
        <v>0</v>
      </c>
      <c r="L26" s="129">
        <v>0</v>
      </c>
      <c r="M26" s="129">
        <v>0</v>
      </c>
      <c r="N26" s="129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158058</v>
      </c>
      <c r="T26" s="120">
        <v>0</v>
      </c>
      <c r="U26" s="120">
        <v>0</v>
      </c>
      <c r="V26" s="120">
        <v>0</v>
      </c>
      <c r="W26" s="120">
        <v>158058</v>
      </c>
      <c r="X26" s="120">
        <v>0</v>
      </c>
      <c r="Y26" s="120">
        <v>0</v>
      </c>
      <c r="Z26" s="120">
        <v>0</v>
      </c>
      <c r="AA26" s="120">
        <v>158058</v>
      </c>
      <c r="AB26" s="118">
        <v>0</v>
      </c>
      <c r="AC26" s="118">
        <v>0</v>
      </c>
      <c r="AD26" s="118">
        <v>0</v>
      </c>
      <c r="AE26" s="118">
        <v>0</v>
      </c>
      <c r="AF26" s="118">
        <v>0</v>
      </c>
      <c r="AG26" s="118">
        <v>0</v>
      </c>
      <c r="AH26" s="118">
        <v>0</v>
      </c>
      <c r="AI26" s="118">
        <v>0</v>
      </c>
      <c r="AJ26" s="118">
        <v>0</v>
      </c>
      <c r="AK26" s="118">
        <v>0</v>
      </c>
      <c r="AL26" s="118">
        <v>0</v>
      </c>
      <c r="AM26" s="118">
        <v>0</v>
      </c>
      <c r="AN26" s="118">
        <v>0</v>
      </c>
      <c r="AO26" s="301">
        <f>B26+O26+AB26</f>
        <v>0</v>
      </c>
      <c r="AP26" s="301">
        <f>C26+P26+AC26</f>
        <v>0</v>
      </c>
      <c r="AQ26" s="301">
        <f>D26+Q26+AD26</f>
        <v>0</v>
      </c>
      <c r="AR26" s="301">
        <f>E26+R26+AE26</f>
        <v>0</v>
      </c>
      <c r="AS26" s="301">
        <f t="shared" si="0"/>
        <v>158058</v>
      </c>
      <c r="AT26" s="120">
        <f t="shared" si="1"/>
        <v>158058</v>
      </c>
      <c r="AU26" s="301">
        <f>G26+T26+AG26</f>
        <v>0</v>
      </c>
      <c r="AV26" s="301">
        <f>H26+U26+AH26</f>
        <v>0</v>
      </c>
      <c r="AW26" s="301">
        <f>I26+V26+AI26</f>
        <v>0</v>
      </c>
      <c r="AX26" s="301">
        <f t="shared" si="2"/>
        <v>158058</v>
      </c>
      <c r="AY26" s="120">
        <f t="shared" si="3"/>
        <v>158058</v>
      </c>
      <c r="AZ26" s="120">
        <f>K26+X26+AK26</f>
        <v>0</v>
      </c>
      <c r="BA26" s="120">
        <f>L26+Y26+AL26</f>
        <v>0</v>
      </c>
      <c r="BB26" s="301">
        <f>M26+Z26+AM26</f>
        <v>0</v>
      </c>
      <c r="BC26" s="301">
        <f t="shared" si="4"/>
        <v>158058</v>
      </c>
      <c r="BD26" s="120">
        <f t="shared" si="5"/>
        <v>158058</v>
      </c>
      <c r="BE26" s="342"/>
      <c r="BF26" s="342"/>
      <c r="BG26" s="342"/>
      <c r="BH26" s="343"/>
      <c r="BL26" s="343"/>
    </row>
    <row r="27" spans="1:64" x14ac:dyDescent="0.35">
      <c r="A27" s="114" t="s">
        <v>30</v>
      </c>
      <c r="B27" s="128">
        <f>SUM(B21:B22)+B25+B26</f>
        <v>0</v>
      </c>
      <c r="C27" s="128">
        <f t="shared" ref="C27:AY27" si="18">SUM(C21:C22)+C25+C26</f>
        <v>0</v>
      </c>
      <c r="D27" s="128">
        <f t="shared" si="18"/>
        <v>0</v>
      </c>
      <c r="E27" s="128">
        <f t="shared" si="18"/>
        <v>0</v>
      </c>
      <c r="F27" s="128">
        <f t="shared" si="18"/>
        <v>0</v>
      </c>
      <c r="G27" s="128">
        <f t="shared" si="18"/>
        <v>0</v>
      </c>
      <c r="H27" s="128">
        <f t="shared" si="18"/>
        <v>0</v>
      </c>
      <c r="I27" s="128">
        <f t="shared" si="18"/>
        <v>0</v>
      </c>
      <c r="J27" s="128">
        <f t="shared" si="18"/>
        <v>0</v>
      </c>
      <c r="K27" s="128">
        <f t="shared" si="18"/>
        <v>0</v>
      </c>
      <c r="L27" s="128">
        <f t="shared" si="18"/>
        <v>0</v>
      </c>
      <c r="M27" s="128">
        <f t="shared" si="18"/>
        <v>0</v>
      </c>
      <c r="N27" s="128">
        <f t="shared" si="18"/>
        <v>0</v>
      </c>
      <c r="O27" s="128">
        <f t="shared" si="18"/>
        <v>3942247248</v>
      </c>
      <c r="P27" s="128">
        <f t="shared" si="18"/>
        <v>4145298270</v>
      </c>
      <c r="Q27" s="128">
        <f t="shared" si="18"/>
        <v>0</v>
      </c>
      <c r="R27" s="128">
        <f t="shared" si="18"/>
        <v>0</v>
      </c>
      <c r="S27" s="128">
        <f t="shared" si="18"/>
        <v>158058</v>
      </c>
      <c r="T27" s="128">
        <f t="shared" si="18"/>
        <v>1129684684</v>
      </c>
      <c r="U27" s="128">
        <f t="shared" si="18"/>
        <v>355232147</v>
      </c>
      <c r="V27" s="128">
        <f t="shared" si="18"/>
        <v>671540848</v>
      </c>
      <c r="W27" s="128">
        <f t="shared" si="18"/>
        <v>3737142877</v>
      </c>
      <c r="X27" s="128">
        <f t="shared" si="18"/>
        <v>1129684684</v>
      </c>
      <c r="Y27" s="128">
        <f t="shared" si="18"/>
        <v>355232147</v>
      </c>
      <c r="Z27" s="128">
        <f t="shared" si="18"/>
        <v>671540848</v>
      </c>
      <c r="AA27" s="128">
        <f t="shared" si="18"/>
        <v>3737142877</v>
      </c>
      <c r="AB27" s="128">
        <f t="shared" si="18"/>
        <v>0</v>
      </c>
      <c r="AC27" s="128">
        <f t="shared" si="18"/>
        <v>0</v>
      </c>
      <c r="AD27" s="128">
        <f t="shared" si="18"/>
        <v>0</v>
      </c>
      <c r="AE27" s="128">
        <f t="shared" si="18"/>
        <v>0</v>
      </c>
      <c r="AF27" s="128">
        <f t="shared" si="18"/>
        <v>0</v>
      </c>
      <c r="AG27" s="128">
        <f t="shared" si="18"/>
        <v>0</v>
      </c>
      <c r="AH27" s="128">
        <f t="shared" si="18"/>
        <v>0</v>
      </c>
      <c r="AI27" s="128">
        <f t="shared" si="18"/>
        <v>0</v>
      </c>
      <c r="AJ27" s="128">
        <f t="shared" si="18"/>
        <v>0</v>
      </c>
      <c r="AK27" s="128">
        <f t="shared" si="18"/>
        <v>0</v>
      </c>
      <c r="AL27" s="128">
        <f t="shared" si="18"/>
        <v>0</v>
      </c>
      <c r="AM27" s="128">
        <f t="shared" si="18"/>
        <v>0</v>
      </c>
      <c r="AN27" s="128">
        <f t="shared" si="18"/>
        <v>0</v>
      </c>
      <c r="AO27" s="128">
        <f t="shared" si="18"/>
        <v>3942247248</v>
      </c>
      <c r="AP27" s="128">
        <f t="shared" si="18"/>
        <v>4145298270</v>
      </c>
      <c r="AQ27" s="128">
        <f t="shared" si="18"/>
        <v>0</v>
      </c>
      <c r="AR27" s="128">
        <f t="shared" si="18"/>
        <v>0</v>
      </c>
      <c r="AS27" s="128">
        <f t="shared" si="18"/>
        <v>158058</v>
      </c>
      <c r="AT27" s="128">
        <f t="shared" si="18"/>
        <v>8087703576</v>
      </c>
      <c r="AU27" s="128">
        <f t="shared" si="18"/>
        <v>1129684684</v>
      </c>
      <c r="AV27" s="128">
        <f t="shared" si="18"/>
        <v>355232147</v>
      </c>
      <c r="AW27" s="128">
        <f t="shared" si="18"/>
        <v>671540848</v>
      </c>
      <c r="AX27" s="128">
        <f t="shared" si="18"/>
        <v>3737142877</v>
      </c>
      <c r="AY27" s="128">
        <f t="shared" si="18"/>
        <v>5893600556</v>
      </c>
      <c r="AZ27" s="338">
        <f t="shared" ref="AT27:BD27" si="19">SUM(AZ21:AZ22)+AZ25+AZ26</f>
        <v>1129684684</v>
      </c>
      <c r="BA27" s="338">
        <f t="shared" si="19"/>
        <v>355232147</v>
      </c>
      <c r="BB27" s="338">
        <f t="shared" si="19"/>
        <v>671540848</v>
      </c>
      <c r="BC27" s="338">
        <f t="shared" si="19"/>
        <v>3737142877</v>
      </c>
      <c r="BD27" s="267">
        <f t="shared" si="19"/>
        <v>5893600556</v>
      </c>
      <c r="BE27" s="343"/>
      <c r="BI27" s="341"/>
    </row>
    <row r="28" spans="1:64" x14ac:dyDescent="0.35">
      <c r="A28" s="13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268"/>
      <c r="P28" s="268"/>
      <c r="Q28" s="268"/>
      <c r="R28" s="268"/>
      <c r="S28" s="268"/>
      <c r="T28" s="268"/>
      <c r="U28" s="268"/>
      <c r="V28" s="268">
        <v>0</v>
      </c>
      <c r="W28" s="268">
        <v>0</v>
      </c>
      <c r="X28" s="268"/>
      <c r="Y28" s="268"/>
      <c r="Z28" s="268"/>
      <c r="AA28" s="120">
        <v>0</v>
      </c>
      <c r="AB28" s="268"/>
      <c r="AC28" s="268"/>
      <c r="AD28" s="268"/>
      <c r="AE28" s="268"/>
      <c r="AF28" s="268">
        <v>0</v>
      </c>
      <c r="AG28" s="268"/>
      <c r="AH28" s="268"/>
      <c r="AI28" s="268">
        <v>0</v>
      </c>
      <c r="AJ28" s="268"/>
      <c r="AK28" s="268"/>
      <c r="AL28" s="268"/>
      <c r="AM28" s="268">
        <v>0</v>
      </c>
      <c r="AN28" s="268"/>
      <c r="AO28" s="268"/>
      <c r="AP28" s="268"/>
      <c r="AQ28" s="268"/>
      <c r="AR28" s="268">
        <f>E28+R28+AE28</f>
        <v>0</v>
      </c>
      <c r="AS28" s="301">
        <f t="shared" si="0"/>
        <v>0</v>
      </c>
      <c r="AT28" s="120">
        <f t="shared" si="1"/>
        <v>0</v>
      </c>
      <c r="AU28" s="268"/>
      <c r="AV28" s="268"/>
      <c r="AW28" s="268"/>
      <c r="AX28" s="301"/>
      <c r="AY28" s="120"/>
      <c r="AZ28" s="268"/>
      <c r="BA28" s="268"/>
      <c r="BB28" s="268"/>
      <c r="BC28" s="268"/>
      <c r="BD28" s="120">
        <f t="shared" si="5"/>
        <v>0</v>
      </c>
      <c r="BE28" s="343"/>
      <c r="BF28" s="343"/>
      <c r="BG28" s="343"/>
      <c r="BH28" s="343"/>
    </row>
    <row r="29" spans="1:64" s="124" customFormat="1" ht="24.75" customHeight="1" x14ac:dyDescent="0.35">
      <c r="A29" s="114" t="s">
        <v>291</v>
      </c>
      <c r="B29" s="128">
        <f>+B27+B19</f>
        <v>419248813</v>
      </c>
      <c r="C29" s="128">
        <f>+C27+C19</f>
        <v>0</v>
      </c>
      <c r="D29" s="128">
        <f>+D27+D19</f>
        <v>0</v>
      </c>
      <c r="E29" s="128">
        <f t="shared" ref="E29:F29" si="20">+E27+E19</f>
        <v>0</v>
      </c>
      <c r="F29" s="128">
        <f t="shared" si="20"/>
        <v>0</v>
      </c>
      <c r="G29" s="128">
        <f>+G27+G19</f>
        <v>105258032</v>
      </c>
      <c r="H29" s="128">
        <f>+H27+H19</f>
        <v>40874667</v>
      </c>
      <c r="I29" s="362">
        <f>+I27+I19</f>
        <v>40919714</v>
      </c>
      <c r="J29" s="362">
        <f>+J27+J19</f>
        <v>107718688</v>
      </c>
      <c r="K29" s="362">
        <f>+K27+K19</f>
        <v>105258032</v>
      </c>
      <c r="L29" s="362">
        <f>+L27+L19</f>
        <v>40874667</v>
      </c>
      <c r="M29" s="128">
        <f>+M27+M19</f>
        <v>40919714</v>
      </c>
      <c r="N29" s="128">
        <f>+N27+N19</f>
        <v>107718688</v>
      </c>
      <c r="O29" s="299">
        <f>+O27+O19</f>
        <v>214636927251</v>
      </c>
      <c r="P29" s="299">
        <f>+P27+P19</f>
        <v>69102676784</v>
      </c>
      <c r="Q29" s="299">
        <f>+Q27+Q19</f>
        <v>0</v>
      </c>
      <c r="R29" s="299">
        <f>+R27+R19</f>
        <v>0</v>
      </c>
      <c r="S29" s="299">
        <v>3172569735</v>
      </c>
      <c r="T29" s="299">
        <f>+T27+T19</f>
        <v>69635760902</v>
      </c>
      <c r="U29" s="299">
        <f t="shared" ref="U29:V29" si="21">+U27+U19</f>
        <v>1008001669.25</v>
      </c>
      <c r="V29" s="299">
        <f t="shared" si="21"/>
        <v>1371201071.01</v>
      </c>
      <c r="W29" s="299">
        <v>214139568430</v>
      </c>
      <c r="X29" s="299">
        <f>+X27+X19</f>
        <v>69635760902</v>
      </c>
      <c r="Y29" s="299">
        <f t="shared" ref="Y29:AA29" si="22">+Y27+Y19</f>
        <v>1008001669.25</v>
      </c>
      <c r="Z29" s="299">
        <f t="shared" si="22"/>
        <v>1371201071.01</v>
      </c>
      <c r="AA29" s="321">
        <f t="shared" si="22"/>
        <v>8191049430</v>
      </c>
      <c r="AB29" s="128">
        <f>+AB27+AB19</f>
        <v>169192078550</v>
      </c>
      <c r="AC29" s="128">
        <f>+AC27+AC19</f>
        <v>61618572632</v>
      </c>
      <c r="AD29" s="128">
        <f t="shared" ref="AD29:AE29" si="23">+AD27+AD19</f>
        <v>0</v>
      </c>
      <c r="AE29" s="128">
        <f t="shared" si="23"/>
        <v>0</v>
      </c>
      <c r="AF29" s="128">
        <v>656864720.61999512</v>
      </c>
      <c r="AG29" s="128">
        <f>+AG27+AG19</f>
        <v>97812428420.460007</v>
      </c>
      <c r="AH29" s="128">
        <f>+AH27+AH19</f>
        <v>3645461536.0799999</v>
      </c>
      <c r="AI29" s="128">
        <f t="shared" ref="AI29:AJ29" si="24">+AI27+AI19</f>
        <v>2836798859.0500002</v>
      </c>
      <c r="AJ29" s="128">
        <f t="shared" si="24"/>
        <v>34746018789.500008</v>
      </c>
      <c r="AK29" s="128">
        <f>+AK27+AK19</f>
        <v>97812428420.460007</v>
      </c>
      <c r="AL29" s="128">
        <f>+AL27+AL19</f>
        <v>3645461536.0799999</v>
      </c>
      <c r="AM29" s="128">
        <f>+AM27+AM19</f>
        <v>2836798859.0500002</v>
      </c>
      <c r="AN29" s="128">
        <f t="shared" ref="AN29" si="25">+AN27+AN19</f>
        <v>34746018789.500008</v>
      </c>
      <c r="AO29" s="267">
        <f>+AO27+AO19</f>
        <v>384248254614</v>
      </c>
      <c r="AP29" s="338">
        <f t="shared" ref="AP29:AY29" si="26">+AP27+AP19</f>
        <v>130721249416</v>
      </c>
      <c r="AQ29" s="338">
        <f t="shared" si="26"/>
        <v>0</v>
      </c>
      <c r="AR29" s="338">
        <f t="shared" si="26"/>
        <v>0</v>
      </c>
      <c r="AS29" s="338">
        <f t="shared" si="26"/>
        <v>3829434455.6199999</v>
      </c>
      <c r="AT29" s="267">
        <f t="shared" si="26"/>
        <v>518798938485.62</v>
      </c>
      <c r="AU29" s="338">
        <f t="shared" si="26"/>
        <v>167553447354.45999</v>
      </c>
      <c r="AV29" s="338">
        <f t="shared" si="26"/>
        <v>4694337872.3299999</v>
      </c>
      <c r="AW29" s="338">
        <f t="shared" si="26"/>
        <v>4248919644.0600004</v>
      </c>
      <c r="AX29" s="338">
        <f t="shared" si="26"/>
        <v>248993305907.5</v>
      </c>
      <c r="AY29" s="267">
        <f t="shared" si="26"/>
        <v>425490010778.34998</v>
      </c>
      <c r="AZ29" s="338">
        <f t="shared" ref="AZ29:BD29" si="27">+AZ27+AZ19</f>
        <v>167553447354.45999</v>
      </c>
      <c r="BA29" s="338">
        <f t="shared" si="27"/>
        <v>4694337872.3299999</v>
      </c>
      <c r="BB29" s="338">
        <f t="shared" si="27"/>
        <v>4248919644.0600004</v>
      </c>
      <c r="BC29" s="338">
        <f t="shared" si="27"/>
        <v>43044786907.500008</v>
      </c>
      <c r="BD29" s="267">
        <f t="shared" si="27"/>
        <v>219541491778.34998</v>
      </c>
    </row>
    <row r="30" spans="1:64" x14ac:dyDescent="0.35">
      <c r="A30" s="133" t="s">
        <v>61</v>
      </c>
      <c r="B30" s="133"/>
      <c r="C30" s="133"/>
      <c r="K30" s="294"/>
      <c r="L30" s="294"/>
      <c r="M30" s="294"/>
      <c r="N30" s="294"/>
      <c r="O30" s="294"/>
      <c r="P30" s="138"/>
      <c r="Q30" s="138"/>
      <c r="R30" s="138"/>
      <c r="S30" s="138"/>
      <c r="X30" s="322"/>
      <c r="Y30" s="303"/>
      <c r="Z30" s="303"/>
      <c r="AA30" s="303"/>
      <c r="AB30" s="303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4"/>
      <c r="AU30" s="134"/>
      <c r="AV30" s="134"/>
      <c r="AW30" s="134"/>
      <c r="AX30" s="134"/>
    </row>
    <row r="31" spans="1:64" s="124" customFormat="1" ht="24.75" customHeight="1" x14ac:dyDescent="0.35">
      <c r="A31" s="135"/>
      <c r="B31" s="360">
        <f>+B29-'[2]PPTO FONTUR 31-01-2024 INGRE '!$B$29</f>
        <v>0</v>
      </c>
      <c r="C31" s="135"/>
      <c r="D31" s="138"/>
      <c r="E31" s="138"/>
      <c r="F31" s="138">
        <f>+B29+C29+D29+E29+F29-'[5]PPTO FONTUR 30-04-2024 INGRE '!$B$29</f>
        <v>0</v>
      </c>
      <c r="G31" s="121">
        <f>+G29-'[2]PPTO FONTUR 31-01-2024 INGRE '!$C$29</f>
        <v>0</v>
      </c>
      <c r="H31" s="121">
        <f>+G29+H29-'[3]PPTO FONTUR 28-02-2024 INGRE '!$C$29</f>
        <v>0</v>
      </c>
      <c r="I31" s="121">
        <f>+G29+H29+I29-'[4]PPTO FONTUR 31-03-2024 INGRE '!$C$29</f>
        <v>0</v>
      </c>
      <c r="J31" s="121">
        <f>+G29+H29+I29+J29-'[5]PPTO FONTUR 30-04-2024 INGRE '!$C$29</f>
        <v>0</v>
      </c>
      <c r="K31" s="121">
        <f>+K29-'[2]PPTO FONTUR 31-01-2024 INGRE '!$E$29</f>
        <v>0</v>
      </c>
      <c r="L31" s="121">
        <f>+L29+K29-'[3]PPTO FONTUR 28-02-2024 INGRE '!$E$29</f>
        <v>0</v>
      </c>
      <c r="M31" s="121">
        <f>+K29+L29+M29-'[4]PPTO FONTUR 31-03-2024 INGRE '!$E$29</f>
        <v>0</v>
      </c>
      <c r="N31" s="121">
        <f>+K29+L29+M29+N29-'[5]PPTO FONTUR 30-04-2024 INGRE '!$E$29</f>
        <v>0</v>
      </c>
      <c r="O31" s="121"/>
      <c r="P31" s="138">
        <f>+O29+P29-'[2]PPTO FONTUR 31-01-2024 INGRE '!$G$29</f>
        <v>0</v>
      </c>
      <c r="Q31" s="138">
        <f>+O29+P29-'[3]PPTO FONTUR 28-02-2024 INGRE '!$G$29</f>
        <v>0</v>
      </c>
      <c r="R31" s="138">
        <f>+O29+P29+Q29+R29-'[4]PPTO FONTUR 31-03-2024 INGRE '!$G$29</f>
        <v>0</v>
      </c>
      <c r="S31" s="138">
        <f>+O29+P29+Q29+R29+S29-'[5]PPTO FONTUR 30-04-2024 INGRE '!$G$29</f>
        <v>0</v>
      </c>
      <c r="T31" s="111">
        <f>+T29-'[2]PPTO FONTUR 31-01-2024 INGRE '!$H$29</f>
        <v>0</v>
      </c>
      <c r="U31" s="111">
        <f>+T29+U29-'[3]PPTO FONTUR 28-02-2024 INGRE '!$H$29</f>
        <v>0</v>
      </c>
      <c r="V31" s="111">
        <f>+T29+U29+V29-'[4]PPTO FONTUR 31-03-2024 INGRE '!$H$29</f>
        <v>0</v>
      </c>
      <c r="W31" s="111">
        <f>+T29+U29+V29+W29-'[5]PPTO FONTUR 30-04-2024 INGRE '!$H$29</f>
        <v>0</v>
      </c>
      <c r="X31" s="322">
        <f>+X29-'[2]PPTO FONTUR 31-01-2024 INGRE '!$J$29</f>
        <v>0</v>
      </c>
      <c r="Y31" s="363">
        <f>+X29+Y29-'[3]PPTO FONTUR 28-02-2024 INGRE '!$J$29</f>
        <v>0</v>
      </c>
      <c r="Z31" s="303">
        <f>+X29+Y29+Z29-'[4]PPTO FONTUR 31-03-2024 INGRE '!$J$29</f>
        <v>0</v>
      </c>
      <c r="AA31" s="303">
        <f>+X29+Y29+Z29+AA29-'[5]PPTO FONTUR 30-04-2024 INGRE '!$J$29</f>
        <v>0</v>
      </c>
      <c r="AB31" s="303">
        <f>+AB29+AC29-'[2]PPTO FONTUR 31-01-2024 INGRE '!$L$29</f>
        <v>0</v>
      </c>
      <c r="AC31" s="138">
        <f>+AB29+AC29+AD29-'[3]PPTO FONTUR 28-02-2024 INGRE '!$L$29</f>
        <v>0</v>
      </c>
      <c r="AD31" s="138">
        <f>+AB29+AC29+AD29+AE29-'[4]PPTO FONTUR 31-03-2024 INGRE '!$L$29</f>
        <v>0</v>
      </c>
      <c r="AE31" s="138"/>
      <c r="AF31" s="138"/>
      <c r="AG31" s="304">
        <f>+AG29-'[2]PPTO FONTUR 31-01-2024 INGRE '!$M$29</f>
        <v>0</v>
      </c>
      <c r="AH31" s="304">
        <f>+AG29+AH29-'[3]PPTO FONTUR 28-02-2024 INGRE '!$M$29</f>
        <v>0</v>
      </c>
      <c r="AI31" s="124">
        <f>+AG29+AH29+AI29-'[4]PPTO FONTUR 31-03-2024 INGRE '!$M$29</f>
        <v>0</v>
      </c>
      <c r="AJ31" s="304">
        <f>+AG29+AH29+AI29+AJ29-'[5]PPTO FONTUR 30-04-2024 INGRE '!$M$29</f>
        <v>0</v>
      </c>
      <c r="AK31" s="138">
        <f>+AK29-'[2]PPTO FONTUR 31-01-2024 INGRE '!$O$29</f>
        <v>0</v>
      </c>
      <c r="AL31" s="138">
        <f>+AK29+AL29-'[3]PPTO FONTUR 28-02-2024 INGRE '!$O$29</f>
        <v>0</v>
      </c>
      <c r="AM31" s="138">
        <f>+AK29+AL29+AM29-'[4]PPTO FONTUR 31-03-2024 INGRE '!$O$29</f>
        <v>0</v>
      </c>
      <c r="AN31" s="138">
        <f>+AK29+AL29+AM29+AN29-'[5]PPTO FONTUR 30-04-2024 INGRE '!$O$29</f>
        <v>0</v>
      </c>
      <c r="AO31" s="138"/>
      <c r="AP31" s="111">
        <f>+AP29-'EGRESOS '!BC32</f>
        <v>0</v>
      </c>
      <c r="AQ31" s="138">
        <f>+AQ29-'EGRESOS '!BD32</f>
        <v>0</v>
      </c>
      <c r="AR31" s="138">
        <f>+AR29-'EGRESOS '!BE32</f>
        <v>0</v>
      </c>
      <c r="AS31" s="138">
        <f>+AS29-'EGRESOS '!BF32</f>
        <v>0</v>
      </c>
      <c r="AT31" s="305">
        <f>+AT29-'EGRESOS '!BG32</f>
        <v>0</v>
      </c>
      <c r="AU31" s="305"/>
      <c r="AV31" s="305"/>
      <c r="AW31" s="305"/>
      <c r="AX31" s="305"/>
      <c r="AY31" s="134"/>
      <c r="AZ31" s="134"/>
      <c r="BA31" s="134"/>
      <c r="BB31" s="134"/>
      <c r="BC31" s="134"/>
      <c r="BD31" s="134"/>
      <c r="BE31" s="341"/>
      <c r="BF31" s="341"/>
      <c r="BG31" s="341"/>
      <c r="BH31" s="341"/>
    </row>
    <row r="32" spans="1:64" x14ac:dyDescent="0.35">
      <c r="K32" s="295"/>
      <c r="L32" s="295"/>
      <c r="M32" s="295"/>
      <c r="N32" s="295"/>
      <c r="O32" s="295"/>
      <c r="P32" s="138"/>
      <c r="Q32" s="138"/>
      <c r="R32" s="138"/>
      <c r="S32" s="138"/>
      <c r="X32" s="119"/>
      <c r="Y32" s="118"/>
      <c r="Z32" s="118"/>
      <c r="AA32" s="118"/>
      <c r="AB32" s="118"/>
      <c r="AC32" s="138"/>
      <c r="AD32" s="138"/>
      <c r="AE32" s="138"/>
      <c r="AF32" s="138"/>
      <c r="AG32" s="138"/>
      <c r="AH32" s="138"/>
      <c r="AI32" s="138"/>
      <c r="AJ32" s="138"/>
      <c r="AK32" s="134"/>
      <c r="AL32" s="134"/>
      <c r="AM32" s="134"/>
      <c r="AN32" s="134"/>
      <c r="AO32" s="134"/>
      <c r="AP32" s="134"/>
      <c r="AQ32" s="134"/>
      <c r="AR32" s="134"/>
      <c r="AS32" s="134"/>
    </row>
    <row r="33" spans="1:59" x14ac:dyDescent="0.35">
      <c r="A33" s="182"/>
      <c r="B33" s="182"/>
      <c r="C33" s="182"/>
      <c r="G33" s="292"/>
      <c r="H33" s="292"/>
      <c r="I33" s="292"/>
      <c r="J33" s="292"/>
      <c r="K33" s="296"/>
      <c r="L33" s="296"/>
      <c r="M33" s="296"/>
      <c r="N33" s="296"/>
      <c r="O33" s="296"/>
      <c r="P33" s="138"/>
      <c r="Q33" s="138"/>
      <c r="R33" s="138"/>
      <c r="S33" s="138"/>
      <c r="X33" s="119"/>
      <c r="Y33" s="118"/>
      <c r="Z33" s="118"/>
      <c r="AA33" s="118"/>
      <c r="AB33" s="118"/>
      <c r="AC33" s="138"/>
      <c r="AD33" s="138"/>
      <c r="AE33" s="138"/>
      <c r="AF33" s="138"/>
      <c r="AG33" s="138"/>
      <c r="AH33" s="138"/>
      <c r="AI33" s="138"/>
      <c r="AJ33" s="138"/>
      <c r="BE33" s="343"/>
      <c r="BF33" s="343"/>
      <c r="BG33" s="343"/>
    </row>
    <row r="34" spans="1:59" x14ac:dyDescent="0.35">
      <c r="A34" s="125"/>
      <c r="B34" s="125"/>
      <c r="C34" s="125"/>
      <c r="G34" s="292"/>
      <c r="H34" s="292"/>
      <c r="I34" s="292"/>
      <c r="J34" s="292"/>
      <c r="K34" s="138"/>
      <c r="L34" s="138"/>
      <c r="M34" s="138"/>
      <c r="N34" s="138"/>
      <c r="O34" s="138"/>
      <c r="P34" s="138"/>
      <c r="Q34" s="138"/>
      <c r="R34" s="138"/>
      <c r="S34" s="138"/>
      <c r="AC34" s="138"/>
      <c r="AD34" s="138"/>
      <c r="AE34" s="138"/>
      <c r="AF34" s="138"/>
      <c r="AG34" s="138"/>
      <c r="AH34" s="138"/>
      <c r="AI34" s="138"/>
      <c r="AJ34" s="138"/>
      <c r="AO34" s="121" t="s">
        <v>305</v>
      </c>
    </row>
    <row r="35" spans="1:59" ht="56.25" x14ac:dyDescent="0.35">
      <c r="G35" s="292"/>
      <c r="H35" s="292"/>
      <c r="I35" s="292"/>
      <c r="J35" s="292"/>
      <c r="P35" s="138"/>
      <c r="Q35" s="138"/>
      <c r="R35" s="138"/>
      <c r="S35" s="138"/>
      <c r="AC35" s="138"/>
      <c r="AD35" s="138"/>
      <c r="AE35" s="138"/>
      <c r="AF35" s="138"/>
      <c r="AG35" s="138"/>
      <c r="AH35" s="138"/>
      <c r="AI35" s="138"/>
      <c r="AJ35" s="138"/>
      <c r="AO35" s="381" t="s">
        <v>294</v>
      </c>
      <c r="AP35" s="382" t="s">
        <v>295</v>
      </c>
      <c r="AQ35" s="389" t="s">
        <v>296</v>
      </c>
      <c r="AR35" s="389" t="s">
        <v>297</v>
      </c>
      <c r="AS35" s="389" t="s">
        <v>298</v>
      </c>
      <c r="AT35" s="389" t="s">
        <v>299</v>
      </c>
      <c r="AU35" s="382" t="s">
        <v>300</v>
      </c>
      <c r="BE35" s="343"/>
      <c r="BF35" s="343"/>
      <c r="BG35" s="343"/>
    </row>
    <row r="36" spans="1:59" x14ac:dyDescent="0.35">
      <c r="D36" s="292"/>
      <c r="E36" s="292"/>
      <c r="F36" s="292"/>
      <c r="G36" s="292"/>
      <c r="H36" s="292"/>
      <c r="I36" s="292"/>
      <c r="J36" s="292"/>
      <c r="P36" s="138"/>
      <c r="Q36" s="138"/>
      <c r="R36" s="138"/>
      <c r="S36" s="138"/>
      <c r="AO36" s="383" t="s">
        <v>301</v>
      </c>
      <c r="AP36" s="138">
        <f>+AO5</f>
        <v>205948519000</v>
      </c>
      <c r="AQ36" s="138">
        <f>X5</f>
        <v>0</v>
      </c>
      <c r="AR36" s="138">
        <f t="shared" ref="AR36:AT36" si="28">Y5</f>
        <v>0</v>
      </c>
      <c r="AS36" s="138">
        <f t="shared" si="28"/>
        <v>0</v>
      </c>
      <c r="AT36" s="138">
        <f t="shared" si="28"/>
        <v>0</v>
      </c>
      <c r="AU36" s="138">
        <f>AQ36+AR36+AS36+AT36</f>
        <v>0</v>
      </c>
      <c r="AV36" s="134"/>
      <c r="AW36" s="134"/>
      <c r="AX36" s="134"/>
      <c r="AY36" s="120"/>
      <c r="AZ36" s="120"/>
      <c r="BA36" s="120"/>
      <c r="BB36" s="120"/>
      <c r="BC36" s="120"/>
    </row>
    <row r="37" spans="1:59" x14ac:dyDescent="0.35">
      <c r="A37" s="136"/>
      <c r="B37" s="136"/>
      <c r="C37" s="136"/>
      <c r="D37" s="292"/>
      <c r="E37" s="292"/>
      <c r="F37" s="292"/>
      <c r="G37" s="292"/>
      <c r="H37" s="292"/>
      <c r="I37" s="292"/>
      <c r="J37" s="292"/>
      <c r="P37" s="138"/>
      <c r="Q37" s="138"/>
      <c r="R37" s="138"/>
      <c r="S37" s="138"/>
      <c r="AO37" s="384" t="s">
        <v>302</v>
      </c>
      <c r="AP37" s="138">
        <f>+O29-O5+P29+Q29+R29+S29</f>
        <v>80963654770</v>
      </c>
      <c r="AQ37" s="138">
        <f>X29-X5</f>
        <v>69635760902</v>
      </c>
      <c r="AR37" s="138">
        <f t="shared" ref="AR37:AT37" si="29">Y29-Y5</f>
        <v>1008001669.25</v>
      </c>
      <c r="AS37" s="138">
        <f t="shared" si="29"/>
        <v>1371201071.01</v>
      </c>
      <c r="AT37" s="138">
        <f t="shared" si="29"/>
        <v>8191049430</v>
      </c>
      <c r="AU37" s="166">
        <f t="shared" ref="AU37:AU39" si="30">AQ37+AR37+AS37+AT37</f>
        <v>80206013072.259995</v>
      </c>
      <c r="AY37" s="120"/>
      <c r="AZ37" s="120"/>
      <c r="BA37" s="120"/>
      <c r="BB37" s="120"/>
      <c r="BC37" s="120"/>
    </row>
    <row r="38" spans="1:59" x14ac:dyDescent="0.35">
      <c r="P38" s="138"/>
      <c r="Q38" s="138"/>
      <c r="R38" s="138"/>
      <c r="S38" s="138"/>
      <c r="AO38" s="385" t="s">
        <v>303</v>
      </c>
      <c r="AP38" s="138">
        <f>+AB29+AC29+AD29+AE29+AF29</f>
        <v>231467515902.62</v>
      </c>
      <c r="AQ38" s="138">
        <f>AK29</f>
        <v>97812428420.460007</v>
      </c>
      <c r="AR38" s="138">
        <f t="shared" ref="AR38:AT38" si="31">AL29</f>
        <v>3645461536.0799999</v>
      </c>
      <c r="AS38" s="138">
        <f t="shared" si="31"/>
        <v>2836798859.0500002</v>
      </c>
      <c r="AT38" s="138">
        <f t="shared" si="31"/>
        <v>34746018789.500008</v>
      </c>
      <c r="AU38" s="138">
        <f t="shared" si="30"/>
        <v>139040707605.09003</v>
      </c>
    </row>
    <row r="39" spans="1:59" x14ac:dyDescent="0.35">
      <c r="A39" s="136"/>
      <c r="B39" s="136"/>
      <c r="C39" s="136"/>
      <c r="P39" s="138"/>
      <c r="Q39" s="138"/>
      <c r="R39" s="138"/>
      <c r="S39" s="138"/>
      <c r="AO39" s="383" t="s">
        <v>304</v>
      </c>
      <c r="AP39" s="138">
        <f>+B29+C29+D29+E29+F29</f>
        <v>419248813</v>
      </c>
      <c r="AQ39" s="138">
        <f>K29</f>
        <v>105258032</v>
      </c>
      <c r="AR39" s="138">
        <f t="shared" ref="AR39:AT39" si="32">L29</f>
        <v>40874667</v>
      </c>
      <c r="AS39" s="138">
        <f t="shared" si="32"/>
        <v>40919714</v>
      </c>
      <c r="AT39" s="138">
        <f t="shared" si="32"/>
        <v>107718688</v>
      </c>
      <c r="AU39" s="138">
        <f t="shared" si="30"/>
        <v>294771101</v>
      </c>
    </row>
    <row r="40" spans="1:59" x14ac:dyDescent="0.35">
      <c r="P40" s="138"/>
      <c r="Q40" s="138"/>
      <c r="R40" s="138"/>
      <c r="S40" s="138"/>
      <c r="AO40" s="386"/>
      <c r="AP40" s="387">
        <f t="shared" ref="AP40:AU40" si="33">SUM(AP36:AP39)</f>
        <v>518798938485.62</v>
      </c>
      <c r="AQ40" s="388">
        <f t="shared" si="33"/>
        <v>167553447354.46002</v>
      </c>
      <c r="AR40" s="388">
        <f t="shared" si="33"/>
        <v>4694337872.3299999</v>
      </c>
      <c r="AS40" s="388">
        <f t="shared" si="33"/>
        <v>4248919644.0600004</v>
      </c>
      <c r="AT40" s="388">
        <f t="shared" si="33"/>
        <v>43044786907.500008</v>
      </c>
      <c r="AU40" s="387">
        <f t="shared" si="33"/>
        <v>219541491778.35004</v>
      </c>
    </row>
    <row r="41" spans="1:59" x14ac:dyDescent="0.35">
      <c r="P41" s="138"/>
      <c r="Q41" s="138"/>
      <c r="R41" s="138"/>
      <c r="S41" s="138"/>
      <c r="X41" s="119"/>
      <c r="Y41" s="120"/>
      <c r="Z41" s="120"/>
      <c r="AA41" s="120"/>
      <c r="AB41" s="120"/>
    </row>
    <row r="42" spans="1:59" x14ac:dyDescent="0.35">
      <c r="A42" s="111"/>
      <c r="B42" s="111"/>
      <c r="C42" s="111"/>
      <c r="P42" s="138"/>
      <c r="Q42" s="138"/>
      <c r="R42" s="138"/>
      <c r="S42" s="138"/>
    </row>
    <row r="43" spans="1:59" x14ac:dyDescent="0.35">
      <c r="A43" s="111"/>
      <c r="B43" s="111"/>
      <c r="C43" s="111"/>
      <c r="P43" s="138"/>
      <c r="Q43" s="138"/>
      <c r="R43" s="138"/>
      <c r="S43" s="138"/>
    </row>
    <row r="44" spans="1:59" x14ac:dyDescent="0.35">
      <c r="A44" s="111"/>
      <c r="B44" s="111"/>
      <c r="C44" s="111"/>
      <c r="P44" s="138"/>
      <c r="Q44" s="138"/>
      <c r="R44" s="138"/>
      <c r="S44" s="138"/>
    </row>
    <row r="45" spans="1:59" x14ac:dyDescent="0.35">
      <c r="A45" s="111"/>
      <c r="B45" s="111"/>
      <c r="C45" s="111"/>
      <c r="P45" s="138"/>
      <c r="Q45" s="138"/>
      <c r="R45" s="138"/>
      <c r="S45" s="138"/>
    </row>
    <row r="46" spans="1:59" x14ac:dyDescent="0.35">
      <c r="A46" s="111"/>
      <c r="B46" s="111"/>
      <c r="C46" s="111"/>
      <c r="P46" s="138"/>
      <c r="Q46" s="138"/>
      <c r="R46" s="138"/>
      <c r="S46" s="138"/>
    </row>
    <row r="47" spans="1:59" x14ac:dyDescent="0.35">
      <c r="A47" s="111"/>
      <c r="B47" s="111"/>
      <c r="C47" s="111"/>
      <c r="P47" s="138"/>
      <c r="Q47" s="138"/>
      <c r="R47" s="138"/>
      <c r="S47" s="138"/>
    </row>
    <row r="48" spans="1:59" x14ac:dyDescent="0.35">
      <c r="A48" s="111"/>
      <c r="B48" s="111"/>
      <c r="C48" s="111"/>
      <c r="P48" s="138"/>
      <c r="Q48" s="138"/>
      <c r="R48" s="138"/>
      <c r="S48" s="138"/>
    </row>
    <row r="49" spans="16:19" x14ac:dyDescent="0.35">
      <c r="P49" s="138"/>
      <c r="Q49" s="138"/>
      <c r="R49" s="138"/>
      <c r="S49" s="138"/>
    </row>
    <row r="50" spans="16:19" x14ac:dyDescent="0.35">
      <c r="P50" s="138"/>
      <c r="Q50" s="138"/>
      <c r="R50" s="138"/>
      <c r="S50" s="138"/>
    </row>
    <row r="51" spans="16:19" x14ac:dyDescent="0.35">
      <c r="P51" s="138"/>
      <c r="Q51" s="138"/>
      <c r="R51" s="138"/>
      <c r="S51" s="138"/>
    </row>
    <row r="52" spans="16:19" x14ac:dyDescent="0.35">
      <c r="P52" s="138"/>
      <c r="Q52" s="138"/>
      <c r="R52" s="138"/>
      <c r="S52" s="138"/>
    </row>
    <row r="53" spans="16:19" x14ac:dyDescent="0.35">
      <c r="P53" s="138"/>
      <c r="Q53" s="138"/>
      <c r="R53" s="138"/>
      <c r="S53" s="138"/>
    </row>
    <row r="54" spans="16:19" x14ac:dyDescent="0.35">
      <c r="P54" s="138"/>
      <c r="Q54" s="138"/>
      <c r="R54" s="138"/>
      <c r="S54" s="138"/>
    </row>
    <row r="55" spans="16:19" x14ac:dyDescent="0.35">
      <c r="P55" s="138"/>
      <c r="Q55" s="138"/>
      <c r="R55" s="138"/>
      <c r="S55" s="138"/>
    </row>
    <row r="56" spans="16:19" x14ac:dyDescent="0.35">
      <c r="P56" s="138"/>
      <c r="Q56" s="138"/>
      <c r="R56" s="138"/>
      <c r="S56" s="138"/>
    </row>
    <row r="57" spans="16:19" x14ac:dyDescent="0.35">
      <c r="P57" s="138"/>
      <c r="Q57" s="138"/>
      <c r="R57" s="138"/>
      <c r="S57" s="138"/>
    </row>
    <row r="58" spans="16:19" x14ac:dyDescent="0.35">
      <c r="P58" s="138"/>
      <c r="Q58" s="138"/>
      <c r="R58" s="138"/>
      <c r="S58" s="138"/>
    </row>
    <row r="59" spans="16:19" x14ac:dyDescent="0.35">
      <c r="P59" s="138"/>
      <c r="Q59" s="138"/>
      <c r="R59" s="138"/>
      <c r="S59" s="138"/>
    </row>
    <row r="60" spans="16:19" x14ac:dyDescent="0.35">
      <c r="P60" s="138"/>
      <c r="Q60" s="138"/>
      <c r="R60" s="138"/>
      <c r="S60" s="138"/>
    </row>
    <row r="61" spans="16:19" x14ac:dyDescent="0.35">
      <c r="P61" s="138"/>
      <c r="Q61" s="138"/>
      <c r="R61" s="138"/>
      <c r="S61" s="138"/>
    </row>
    <row r="62" spans="16:19" x14ac:dyDescent="0.35">
      <c r="P62" s="138"/>
      <c r="Q62" s="138"/>
      <c r="R62" s="138"/>
      <c r="S62" s="138"/>
    </row>
    <row r="63" spans="16:19" x14ac:dyDescent="0.35">
      <c r="P63" s="138"/>
      <c r="Q63" s="138"/>
      <c r="R63" s="138"/>
      <c r="S63" s="138"/>
    </row>
    <row r="64" spans="16:19" x14ac:dyDescent="0.35">
      <c r="P64" s="138"/>
      <c r="Q64" s="138"/>
      <c r="R64" s="138"/>
      <c r="S64" s="138"/>
    </row>
    <row r="65" spans="16:19" x14ac:dyDescent="0.35">
      <c r="P65" s="138"/>
      <c r="Q65" s="138"/>
      <c r="R65" s="138"/>
      <c r="S65" s="138"/>
    </row>
    <row r="66" spans="16:19" x14ac:dyDescent="0.35">
      <c r="P66" s="138"/>
      <c r="Q66" s="138"/>
      <c r="R66" s="138"/>
      <c r="S66" s="138"/>
    </row>
    <row r="67" spans="16:19" x14ac:dyDescent="0.35">
      <c r="P67" s="138"/>
      <c r="Q67" s="138"/>
      <c r="R67" s="138"/>
      <c r="S67" s="138"/>
    </row>
    <row r="68" spans="16:19" x14ac:dyDescent="0.35">
      <c r="P68" s="138"/>
      <c r="Q68" s="138"/>
      <c r="R68" s="138"/>
      <c r="S68" s="138"/>
    </row>
    <row r="69" spans="16:19" x14ac:dyDescent="0.35">
      <c r="P69" s="138"/>
      <c r="Q69" s="138"/>
      <c r="R69" s="138"/>
      <c r="S69" s="138"/>
    </row>
    <row r="70" spans="16:19" x14ac:dyDescent="0.35">
      <c r="P70" s="138"/>
      <c r="Q70" s="138"/>
      <c r="R70" s="138"/>
      <c r="S70" s="138"/>
    </row>
    <row r="71" spans="16:19" x14ac:dyDescent="0.35">
      <c r="P71" s="138"/>
      <c r="Q71" s="138"/>
      <c r="R71" s="138"/>
      <c r="S71" s="138"/>
    </row>
    <row r="72" spans="16:19" x14ac:dyDescent="0.35">
      <c r="P72" s="138"/>
      <c r="Q72" s="138"/>
      <c r="R72" s="138"/>
      <c r="S72" s="138"/>
    </row>
    <row r="73" spans="16:19" x14ac:dyDescent="0.35">
      <c r="P73" s="138"/>
      <c r="Q73" s="138"/>
      <c r="R73" s="138"/>
      <c r="S73" s="138"/>
    </row>
    <row r="74" spans="16:19" x14ac:dyDescent="0.35">
      <c r="P74" s="138"/>
      <c r="Q74" s="138"/>
      <c r="R74" s="138"/>
      <c r="S74" s="138"/>
    </row>
    <row r="75" spans="16:19" x14ac:dyDescent="0.35">
      <c r="P75" s="138"/>
      <c r="Q75" s="138"/>
      <c r="R75" s="138"/>
      <c r="S75" s="138"/>
    </row>
    <row r="76" spans="16:19" x14ac:dyDescent="0.35">
      <c r="P76" s="138"/>
      <c r="Q76" s="138"/>
      <c r="R76" s="138"/>
      <c r="S76" s="138"/>
    </row>
    <row r="77" spans="16:19" x14ac:dyDescent="0.35">
      <c r="P77" s="138"/>
      <c r="Q77" s="138"/>
      <c r="R77" s="138"/>
      <c r="S77" s="138"/>
    </row>
    <row r="81" spans="33:36" x14ac:dyDescent="0.35">
      <c r="AG81" s="138"/>
      <c r="AH81" s="138"/>
      <c r="AI81" s="138"/>
      <c r="AJ81" s="138"/>
    </row>
  </sheetData>
  <mergeCells count="4">
    <mergeCell ref="A2:BD2"/>
    <mergeCell ref="B3:N3"/>
    <mergeCell ref="O3:AA3"/>
    <mergeCell ref="AB3:AN3"/>
  </mergeCells>
  <phoneticPr fontId="71" type="noConversion"/>
  <printOptions horizontalCentered="1"/>
  <pageMargins left="0.31496062992125984" right="0.31496062992125984" top="0.74803149606299213" bottom="0.74803149606299213" header="0.31496062992125984" footer="0.31496062992125984"/>
  <pageSetup scale="45" orientation="landscape" r:id="rId1"/>
  <ignoredErrors>
    <ignoredError sqref="X8 X9 AQ27:AT2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6A101-35C8-4540-A764-24DF34F1432B}">
  <dimension ref="A3:F14"/>
  <sheetViews>
    <sheetView workbookViewId="0">
      <selection activeCell="B25" sqref="B25"/>
    </sheetView>
  </sheetViews>
  <sheetFormatPr baseColWidth="10" defaultRowHeight="15" x14ac:dyDescent="0.25"/>
  <cols>
    <col min="1" max="1" width="58.7109375" customWidth="1"/>
    <col min="2" max="2" width="20.28515625" bestFit="1" customWidth="1"/>
    <col min="3" max="3" width="22.5703125" customWidth="1"/>
    <col min="4" max="4" width="24.42578125" customWidth="1"/>
    <col min="5" max="5" width="26.42578125" customWidth="1"/>
    <col min="6" max="6" width="23.140625" customWidth="1"/>
  </cols>
  <sheetData>
    <row r="3" spans="1:6" ht="72" x14ac:dyDescent="0.25">
      <c r="A3" s="114" t="s">
        <v>4</v>
      </c>
      <c r="B3" s="115" t="s">
        <v>116</v>
      </c>
      <c r="C3" s="115" t="s">
        <v>117</v>
      </c>
      <c r="D3" s="115" t="s">
        <v>118</v>
      </c>
      <c r="E3" s="195" t="s">
        <v>120</v>
      </c>
      <c r="F3" s="114" t="s">
        <v>119</v>
      </c>
    </row>
    <row r="4" spans="1:6" ht="18" x14ac:dyDescent="0.25">
      <c r="A4" s="123" t="s">
        <v>22</v>
      </c>
      <c r="B4" s="119"/>
      <c r="C4" s="119"/>
      <c r="D4" s="119"/>
      <c r="F4" s="117"/>
    </row>
    <row r="5" spans="1:6" ht="18" x14ac:dyDescent="0.25">
      <c r="A5" s="199" t="s">
        <v>55</v>
      </c>
      <c r="B5" s="197">
        <v>94068618</v>
      </c>
      <c r="C5" s="197">
        <v>94068618</v>
      </c>
      <c r="D5" s="197">
        <f>C5</f>
        <v>94068618</v>
      </c>
      <c r="E5" s="198">
        <f>B5-C5</f>
        <v>0</v>
      </c>
      <c r="F5" s="198">
        <f>C5-D5</f>
        <v>0</v>
      </c>
    </row>
    <row r="6" spans="1:6" ht="18" x14ac:dyDescent="0.25">
      <c r="A6" s="199" t="s">
        <v>56</v>
      </c>
      <c r="B6" s="197">
        <f>816896788+30879900</f>
        <v>847776688</v>
      </c>
      <c r="C6" s="197">
        <f>105589318+40434194+35712203+111915056+38702576+38295556+97792952+37636502+37650552+99651775+37484464+40753322</f>
        <v>721618470</v>
      </c>
      <c r="D6" s="197">
        <v>341876190</v>
      </c>
      <c r="E6" s="198">
        <f>B6-C6</f>
        <v>126158218</v>
      </c>
      <c r="F6" s="198">
        <f>C6-D6</f>
        <v>379742280</v>
      </c>
    </row>
    <row r="7" spans="1:6" ht="18" x14ac:dyDescent="0.25">
      <c r="A7" s="114" t="s">
        <v>28</v>
      </c>
      <c r="B7" s="190">
        <f>SUM(B5:B6)</f>
        <v>941845306</v>
      </c>
      <c r="C7" s="190">
        <f t="shared" ref="C7:E7" si="0">SUM(C5:C6)</f>
        <v>815687088</v>
      </c>
      <c r="D7" s="190">
        <f t="shared" si="0"/>
        <v>435944808</v>
      </c>
      <c r="E7" s="194">
        <f t="shared" si="0"/>
        <v>126158218</v>
      </c>
      <c r="F7" s="194">
        <f>SUM(F5:F6)</f>
        <v>379742280</v>
      </c>
    </row>
    <row r="10" spans="1:6" x14ac:dyDescent="0.25">
      <c r="D10" s="193"/>
    </row>
    <row r="11" spans="1:6" ht="72" x14ac:dyDescent="0.25">
      <c r="A11" s="114" t="s">
        <v>4</v>
      </c>
      <c r="B11" s="115" t="s">
        <v>116</v>
      </c>
      <c r="C11" s="115" t="s">
        <v>117</v>
      </c>
      <c r="D11" s="115" t="s">
        <v>121</v>
      </c>
      <c r="E11" s="195" t="s">
        <v>120</v>
      </c>
      <c r="F11" s="114" t="s">
        <v>119</v>
      </c>
    </row>
    <row r="12" spans="1:6" ht="18" x14ac:dyDescent="0.25">
      <c r="A12" s="123" t="s">
        <v>30</v>
      </c>
      <c r="B12" s="119"/>
      <c r="C12" s="119"/>
      <c r="D12" s="119"/>
      <c r="F12" s="117"/>
    </row>
    <row r="13" spans="1:6" ht="37.5" customHeight="1" x14ac:dyDescent="0.25">
      <c r="A13" s="196" t="s">
        <v>57</v>
      </c>
      <c r="B13" s="119">
        <f>1224711404+2282753</f>
        <v>1226994157</v>
      </c>
      <c r="C13" s="119">
        <f>34964409+315385651+14936711.96+222595661+18510799+5207582+243974342+5371174+249354181.73</f>
        <v>1110300511.6900001</v>
      </c>
      <c r="D13" s="119">
        <v>1000000000</v>
      </c>
      <c r="E13" s="119">
        <f>B13-C13</f>
        <v>116693645.30999994</v>
      </c>
      <c r="F13" s="119">
        <f>C13-D13</f>
        <v>110300511.69000006</v>
      </c>
    </row>
    <row r="14" spans="1:6" ht="18" x14ac:dyDescent="0.25">
      <c r="A14" s="114" t="s">
        <v>28</v>
      </c>
      <c r="B14" s="190">
        <f>SUM(B13:B13)</f>
        <v>1226994157</v>
      </c>
      <c r="C14" s="190">
        <f>SUM(C13:C13)</f>
        <v>1110300511.6900001</v>
      </c>
      <c r="D14" s="190">
        <f>SUM(D13:D13)</f>
        <v>1000000000</v>
      </c>
      <c r="E14" s="194">
        <f>SUM(E13:E13)</f>
        <v>116693645.30999994</v>
      </c>
      <c r="F14" s="194">
        <f>SUM(F13:F13)</f>
        <v>110300511.69000006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DEA81-38C6-4075-852D-489CCCA203BB}">
  <dimension ref="A2:I14"/>
  <sheetViews>
    <sheetView showGridLines="0" workbookViewId="0">
      <selection activeCell="E11" sqref="E11"/>
    </sheetView>
  </sheetViews>
  <sheetFormatPr baseColWidth="10" defaultRowHeight="18" x14ac:dyDescent="0.35"/>
  <cols>
    <col min="1" max="1" width="46.42578125" style="182" bestFit="1" customWidth="1"/>
    <col min="2" max="2" width="15.28515625" style="182" customWidth="1"/>
    <col min="3" max="3" width="22.42578125" style="182" bestFit="1" customWidth="1"/>
    <col min="4" max="4" width="22.28515625" style="182" bestFit="1" customWidth="1"/>
    <col min="5" max="5" width="25.7109375" style="182" customWidth="1"/>
    <col min="6" max="6" width="4.5703125" style="182" customWidth="1"/>
    <col min="7" max="7" width="20.85546875" style="182" customWidth="1"/>
    <col min="8" max="8" width="7.28515625" style="182" customWidth="1"/>
    <col min="9" max="9" width="24.140625" style="182" customWidth="1"/>
    <col min="10" max="16384" width="11.42578125" style="182"/>
  </cols>
  <sheetData>
    <row r="2" spans="1:9" ht="90" x14ac:dyDescent="0.35">
      <c r="A2" s="114" t="s">
        <v>127</v>
      </c>
      <c r="B2" s="200" t="s">
        <v>108</v>
      </c>
      <c r="C2" s="200" t="s">
        <v>122</v>
      </c>
      <c r="D2" s="200" t="s">
        <v>123</v>
      </c>
      <c r="E2" s="200" t="s">
        <v>124</v>
      </c>
      <c r="G2" s="200" t="s">
        <v>125</v>
      </c>
      <c r="I2" s="208" t="s">
        <v>129</v>
      </c>
    </row>
    <row r="3" spans="1:9" x14ac:dyDescent="0.35">
      <c r="A3" s="203" t="s">
        <v>44</v>
      </c>
      <c r="B3" s="206" t="s">
        <v>1</v>
      </c>
      <c r="C3" s="207">
        <v>0</v>
      </c>
      <c r="D3" s="207">
        <f>'INGRESOS '!T9</f>
        <v>108513747</v>
      </c>
      <c r="E3" s="207">
        <f>D3-C3</f>
        <v>108513747</v>
      </c>
      <c r="G3" s="207">
        <f>ROUND(2746161002.06,0)</f>
        <v>2746161002</v>
      </c>
      <c r="I3" s="201">
        <f>ROUND(E3-G3,0)</f>
        <v>-2637647255</v>
      </c>
    </row>
    <row r="4" spans="1:9" x14ac:dyDescent="0.35">
      <c r="A4" s="204" t="s">
        <v>48</v>
      </c>
      <c r="B4" s="206" t="s">
        <v>1</v>
      </c>
      <c r="C4" s="207">
        <f>'INGRESOS '!P11</f>
        <v>1712516140</v>
      </c>
      <c r="D4" s="207">
        <f>'INGRESOS '!T11</f>
        <v>2406539095</v>
      </c>
      <c r="E4" s="207">
        <f>D4-C4</f>
        <v>694022955</v>
      </c>
      <c r="G4" s="182">
        <v>0</v>
      </c>
      <c r="H4" s="210"/>
      <c r="I4" s="201">
        <f t="shared" ref="I4:I7" si="0">ROUND(E4-G4,0)</f>
        <v>694022955</v>
      </c>
    </row>
    <row r="5" spans="1:9" x14ac:dyDescent="0.35">
      <c r="A5" s="204" t="s">
        <v>48</v>
      </c>
      <c r="B5" s="211" t="s">
        <v>126</v>
      </c>
      <c r="C5" s="207">
        <f>'INGRESOS '!P22</f>
        <v>752114484</v>
      </c>
      <c r="D5" s="207">
        <f>+'INGRESOS '!T22</f>
        <v>1128661123</v>
      </c>
      <c r="E5" s="207">
        <f>D5-C5</f>
        <v>376546639</v>
      </c>
      <c r="G5" s="182">
        <v>0</v>
      </c>
      <c r="I5" s="201">
        <f t="shared" si="0"/>
        <v>376546639</v>
      </c>
    </row>
    <row r="6" spans="1:9" x14ac:dyDescent="0.35">
      <c r="A6" s="204" t="s">
        <v>48</v>
      </c>
      <c r="B6" s="206" t="s">
        <v>2</v>
      </c>
      <c r="C6" s="207">
        <f>'INGRESOS '!AC11</f>
        <v>5130626951</v>
      </c>
      <c r="D6" s="207">
        <f>'INGRESOS '!AG11</f>
        <v>7253744364.46</v>
      </c>
      <c r="E6" s="207">
        <f>D6-C6</f>
        <v>2123117413.46</v>
      </c>
      <c r="G6" s="182">
        <v>0</v>
      </c>
      <c r="I6" s="201">
        <f t="shared" si="0"/>
        <v>2123117413</v>
      </c>
    </row>
    <row r="7" spans="1:9" x14ac:dyDescent="0.35">
      <c r="A7" s="203" t="s">
        <v>40</v>
      </c>
      <c r="B7" s="206" t="s">
        <v>2</v>
      </c>
      <c r="C7" s="207">
        <f>'INGRESOS '!AC6</f>
        <v>0</v>
      </c>
      <c r="D7" s="207">
        <f>'INGRESOS '!AG6</f>
        <v>34070738375</v>
      </c>
      <c r="E7" s="207">
        <f>D7-C7</f>
        <v>34070738375</v>
      </c>
      <c r="G7" s="182">
        <v>0</v>
      </c>
      <c r="I7" s="201">
        <f t="shared" si="0"/>
        <v>34070738375</v>
      </c>
    </row>
    <row r="8" spans="1:9" x14ac:dyDescent="0.35">
      <c r="A8" s="311" t="s">
        <v>128</v>
      </c>
      <c r="B8" s="311"/>
      <c r="C8" s="311"/>
      <c r="D8" s="311"/>
      <c r="E8" s="205">
        <f>SUM(E3:E6)</f>
        <v>3302200754.46</v>
      </c>
      <c r="G8" s="205">
        <f>SUM(G3:G6)</f>
        <v>2746161002</v>
      </c>
      <c r="I8" s="209">
        <f>SUM(I3:I7)</f>
        <v>34626778127</v>
      </c>
    </row>
    <row r="9" spans="1:9" x14ac:dyDescent="0.35">
      <c r="A9" s="202"/>
      <c r="C9" s="137"/>
      <c r="D9" s="137"/>
      <c r="E9" s="137"/>
    </row>
    <row r="10" spans="1:9" x14ac:dyDescent="0.35">
      <c r="A10" s="202"/>
      <c r="C10" s="137"/>
      <c r="D10" s="137"/>
      <c r="E10" s="137"/>
      <c r="G10" s="210" t="s">
        <v>130</v>
      </c>
    </row>
    <row r="11" spans="1:9" x14ac:dyDescent="0.35">
      <c r="A11" s="202"/>
      <c r="G11" s="210" t="s">
        <v>131</v>
      </c>
    </row>
    <row r="12" spans="1:9" x14ac:dyDescent="0.35">
      <c r="A12" s="202"/>
    </row>
    <row r="13" spans="1:9" x14ac:dyDescent="0.35">
      <c r="A13" s="202"/>
    </row>
    <row r="14" spans="1:9" x14ac:dyDescent="0.35">
      <c r="A14" s="202"/>
    </row>
  </sheetData>
  <mergeCells count="1">
    <mergeCell ref="A8:D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4" tint="-0.249977111117893"/>
  </sheetPr>
  <dimension ref="A1:BW39"/>
  <sheetViews>
    <sheetView showGridLines="0" tabSelected="1" topLeftCell="B1" zoomScale="85" zoomScaleNormal="85" workbookViewId="0">
      <selection activeCell="BD23" sqref="BD23"/>
    </sheetView>
  </sheetViews>
  <sheetFormatPr baseColWidth="10" defaultColWidth="11.42578125" defaultRowHeight="18.75" outlineLevelRow="1" outlineLevelCol="1" x14ac:dyDescent="0.25"/>
  <cols>
    <col min="1" max="1" width="5.7109375" style="133" hidden="1" customWidth="1"/>
    <col min="2" max="2" width="67.7109375" style="165" customWidth="1"/>
    <col min="3" max="3" width="20.7109375" style="361" hidden="1" customWidth="1" outlineLevel="1"/>
    <col min="4" max="4" width="21.7109375" style="361" hidden="1" customWidth="1" outlineLevel="1"/>
    <col min="5" max="7" width="21.28515625" style="361" hidden="1" customWidth="1" outlineLevel="1"/>
    <col min="8" max="11" width="21.140625" style="166" hidden="1" customWidth="1" outlineLevel="1"/>
    <col min="12" max="15" width="21" style="166" hidden="1" customWidth="1" outlineLevel="1"/>
    <col min="16" max="20" width="19.28515625" style="166" hidden="1" customWidth="1" outlineLevel="1"/>
    <col min="21" max="24" width="22.85546875" style="154" hidden="1" customWidth="1" outlineLevel="1"/>
    <col min="25" max="25" width="27.140625" style="154" hidden="1" customWidth="1" outlineLevel="1"/>
    <col min="26" max="28" width="29.5703125" style="154" hidden="1" customWidth="1" outlineLevel="1"/>
    <col min="29" max="32" width="19.5703125" style="154" hidden="1" customWidth="1" outlineLevel="1"/>
    <col min="33" max="37" width="21.28515625" style="154" hidden="1" customWidth="1" outlineLevel="1"/>
    <col min="38" max="41" width="29.140625" style="167" hidden="1" customWidth="1" outlineLevel="1"/>
    <col min="42" max="45" width="26.28515625" style="168" hidden="1" customWidth="1" outlineLevel="1"/>
    <col min="46" max="46" width="19.28515625" style="154" hidden="1" customWidth="1" outlineLevel="1"/>
    <col min="47" max="49" width="24.85546875" style="154" hidden="1" customWidth="1" outlineLevel="1"/>
    <col min="50" max="53" width="18.28515625" style="168" hidden="1" customWidth="1" outlineLevel="1"/>
    <col min="54" max="54" width="18.28515625" style="168" customWidth="1" collapsed="1"/>
    <col min="55" max="58" width="18.28515625" style="168" customWidth="1"/>
    <col min="59" max="63" width="24" style="166" customWidth="1"/>
    <col min="64" max="64" width="23.140625" style="167" bestFit="1" customWidth="1"/>
    <col min="65" max="68" width="17.85546875" style="167" customWidth="1"/>
    <col min="69" max="72" width="19.140625" style="167" customWidth="1"/>
    <col min="73" max="74" width="16.5703125" style="167" customWidth="1"/>
    <col min="75" max="75" width="17" style="154" customWidth="1"/>
    <col min="76" max="16384" width="11.42578125" style="354"/>
  </cols>
  <sheetData>
    <row r="1" spans="1:75" ht="9" customHeight="1" x14ac:dyDescent="0.25"/>
    <row r="2" spans="1:75" ht="78.75" customHeight="1" x14ac:dyDescent="0.25">
      <c r="B2" s="309" t="s">
        <v>292</v>
      </c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309"/>
      <c r="V2" s="309"/>
      <c r="W2" s="309"/>
      <c r="X2" s="309"/>
      <c r="Y2" s="309"/>
      <c r="Z2" s="309"/>
      <c r="AA2" s="309"/>
      <c r="AB2" s="309"/>
      <c r="AC2" s="309"/>
      <c r="AD2" s="309"/>
      <c r="AE2" s="309"/>
      <c r="AF2" s="309"/>
      <c r="AG2" s="309"/>
      <c r="AH2" s="309"/>
      <c r="AI2" s="309"/>
      <c r="AJ2" s="309"/>
      <c r="AK2" s="309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/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</row>
    <row r="3" spans="1:75" ht="15.75" customHeight="1" x14ac:dyDescent="0.25">
      <c r="B3" s="140"/>
      <c r="C3" s="364" t="s">
        <v>32</v>
      </c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141"/>
      <c r="U3" s="327" t="s">
        <v>33</v>
      </c>
      <c r="V3" s="327"/>
      <c r="W3" s="327"/>
      <c r="X3" s="327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283" t="s">
        <v>34</v>
      </c>
      <c r="AM3" s="283"/>
      <c r="AN3" s="283"/>
      <c r="AO3" s="283"/>
      <c r="AP3" s="142"/>
      <c r="AQ3" s="142"/>
      <c r="AR3" s="142"/>
      <c r="AS3" s="142"/>
      <c r="AT3" s="142"/>
      <c r="AU3" s="142"/>
      <c r="AV3" s="142"/>
      <c r="AW3" s="142"/>
      <c r="AX3" s="141"/>
      <c r="AY3" s="141"/>
      <c r="AZ3" s="141"/>
      <c r="BA3" s="141"/>
      <c r="BB3" s="113" t="s">
        <v>3</v>
      </c>
      <c r="BC3" s="141"/>
      <c r="BD3" s="141"/>
      <c r="BE3" s="141"/>
      <c r="BF3" s="141"/>
      <c r="BH3" s="113"/>
      <c r="BI3" s="113"/>
      <c r="BJ3" s="113"/>
      <c r="BK3" s="113"/>
      <c r="BL3" s="288"/>
      <c r="BM3" s="288"/>
      <c r="BN3" s="288"/>
      <c r="BO3" s="288"/>
      <c r="BP3" s="288"/>
      <c r="BQ3" s="288"/>
      <c r="BR3" s="288"/>
      <c r="BS3" s="288"/>
      <c r="BT3" s="288"/>
      <c r="BU3" s="288"/>
      <c r="BV3" s="288"/>
      <c r="BW3" s="288"/>
    </row>
    <row r="4" spans="1:75" s="355" customFormat="1" ht="89.25" customHeight="1" x14ac:dyDescent="0.25">
      <c r="A4" s="143"/>
      <c r="B4" s="144" t="s">
        <v>185</v>
      </c>
      <c r="C4" s="337" t="s">
        <v>202</v>
      </c>
      <c r="D4" s="289" t="s">
        <v>203</v>
      </c>
      <c r="E4" s="289" t="s">
        <v>204</v>
      </c>
      <c r="F4" s="289" t="s">
        <v>253</v>
      </c>
      <c r="G4" s="289" t="s">
        <v>254</v>
      </c>
      <c r="H4" s="145" t="s">
        <v>225</v>
      </c>
      <c r="I4" s="145" t="s">
        <v>226</v>
      </c>
      <c r="J4" s="145" t="s">
        <v>255</v>
      </c>
      <c r="K4" s="145" t="s">
        <v>256</v>
      </c>
      <c r="L4" s="145" t="s">
        <v>227</v>
      </c>
      <c r="M4" s="145" t="s">
        <v>228</v>
      </c>
      <c r="N4" s="145" t="s">
        <v>257</v>
      </c>
      <c r="O4" s="145" t="s">
        <v>258</v>
      </c>
      <c r="P4" s="145" t="s">
        <v>229</v>
      </c>
      <c r="Q4" s="145" t="s">
        <v>230</v>
      </c>
      <c r="R4" s="145" t="s">
        <v>259</v>
      </c>
      <c r="S4" s="145" t="s">
        <v>260</v>
      </c>
      <c r="T4" s="337" t="s">
        <v>211</v>
      </c>
      <c r="U4" s="297" t="s">
        <v>209</v>
      </c>
      <c r="V4" s="297" t="s">
        <v>210</v>
      </c>
      <c r="W4" s="297" t="s">
        <v>261</v>
      </c>
      <c r="X4" s="297" t="s">
        <v>262</v>
      </c>
      <c r="Y4" s="297" t="s">
        <v>231</v>
      </c>
      <c r="Z4" s="297" t="s">
        <v>232</v>
      </c>
      <c r="AA4" s="297" t="s">
        <v>263</v>
      </c>
      <c r="AB4" s="297" t="s">
        <v>264</v>
      </c>
      <c r="AC4" s="328" t="s">
        <v>233</v>
      </c>
      <c r="AD4" s="328" t="s">
        <v>234</v>
      </c>
      <c r="AE4" s="328" t="s">
        <v>265</v>
      </c>
      <c r="AF4" s="328" t="s">
        <v>266</v>
      </c>
      <c r="AG4" s="329" t="s">
        <v>235</v>
      </c>
      <c r="AH4" s="329" t="s">
        <v>236</v>
      </c>
      <c r="AI4" s="329" t="s">
        <v>267</v>
      </c>
      <c r="AJ4" s="329" t="s">
        <v>251</v>
      </c>
      <c r="AK4" s="337" t="s">
        <v>214</v>
      </c>
      <c r="AL4" s="289" t="s">
        <v>212</v>
      </c>
      <c r="AM4" s="289" t="s">
        <v>213</v>
      </c>
      <c r="AN4" s="289" t="s">
        <v>268</v>
      </c>
      <c r="AO4" s="289" t="s">
        <v>269</v>
      </c>
      <c r="AP4" s="145" t="s">
        <v>237</v>
      </c>
      <c r="AQ4" s="145" t="s">
        <v>238</v>
      </c>
      <c r="AR4" s="145" t="s">
        <v>270</v>
      </c>
      <c r="AS4" s="145" t="s">
        <v>271</v>
      </c>
      <c r="AT4" s="145" t="s">
        <v>239</v>
      </c>
      <c r="AU4" s="145" t="s">
        <v>240</v>
      </c>
      <c r="AV4" s="145" t="s">
        <v>272</v>
      </c>
      <c r="AW4" s="145" t="s">
        <v>273</v>
      </c>
      <c r="AX4" s="146" t="s">
        <v>235</v>
      </c>
      <c r="AY4" s="146" t="s">
        <v>236</v>
      </c>
      <c r="AZ4" s="146" t="s">
        <v>252</v>
      </c>
      <c r="BA4" s="146" t="s">
        <v>251</v>
      </c>
      <c r="BB4" s="306" t="s">
        <v>201</v>
      </c>
      <c r="BC4" s="323" t="s">
        <v>200</v>
      </c>
      <c r="BD4" s="323" t="s">
        <v>197</v>
      </c>
      <c r="BE4" s="323" t="s">
        <v>198</v>
      </c>
      <c r="BF4" s="323" t="s">
        <v>199</v>
      </c>
      <c r="BG4" s="306" t="s">
        <v>35</v>
      </c>
      <c r="BH4" s="323" t="s">
        <v>241</v>
      </c>
      <c r="BI4" s="323" t="s">
        <v>242</v>
      </c>
      <c r="BJ4" s="323" t="s">
        <v>243</v>
      </c>
      <c r="BK4" s="323" t="s">
        <v>244</v>
      </c>
      <c r="BL4" s="286" t="s">
        <v>245</v>
      </c>
      <c r="BM4" s="335" t="s">
        <v>246</v>
      </c>
      <c r="BN4" s="335" t="s">
        <v>247</v>
      </c>
      <c r="BO4" s="335" t="s">
        <v>248</v>
      </c>
      <c r="BP4" s="335" t="s">
        <v>249</v>
      </c>
      <c r="BQ4" s="286" t="s">
        <v>250</v>
      </c>
      <c r="BR4" s="335" t="s">
        <v>235</v>
      </c>
      <c r="BS4" s="335" t="s">
        <v>236</v>
      </c>
      <c r="BT4" s="335" t="s">
        <v>252</v>
      </c>
      <c r="BU4" s="335" t="s">
        <v>251</v>
      </c>
      <c r="BV4" s="286" t="s">
        <v>63</v>
      </c>
      <c r="BW4" s="286" t="s">
        <v>66</v>
      </c>
    </row>
    <row r="5" spans="1:75" s="356" customFormat="1" ht="17.25" customHeight="1" x14ac:dyDescent="0.25">
      <c r="A5" s="148"/>
      <c r="B5" s="149" t="s">
        <v>67</v>
      </c>
      <c r="C5" s="149"/>
      <c r="D5" s="149"/>
      <c r="E5" s="149"/>
      <c r="F5" s="149"/>
      <c r="G5" s="149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287"/>
      <c r="BH5" s="287"/>
      <c r="BI5" s="287"/>
      <c r="BJ5" s="287"/>
      <c r="BK5" s="287"/>
      <c r="BL5" s="287"/>
      <c r="BM5" s="287"/>
      <c r="BN5" s="287"/>
      <c r="BO5" s="287"/>
      <c r="BP5" s="287"/>
      <c r="BQ5" s="287"/>
      <c r="BR5" s="287"/>
      <c r="BS5" s="287"/>
      <c r="BT5" s="287"/>
      <c r="BU5" s="287"/>
      <c r="BV5" s="287"/>
      <c r="BW5" s="287"/>
    </row>
    <row r="6" spans="1:75" ht="32.25" customHeight="1" x14ac:dyDescent="0.25">
      <c r="B6" s="274" t="s">
        <v>68</v>
      </c>
      <c r="C6" s="139">
        <v>0</v>
      </c>
      <c r="D6" s="139">
        <v>0</v>
      </c>
      <c r="E6" s="139">
        <v>0</v>
      </c>
      <c r="F6" s="139">
        <v>0</v>
      </c>
      <c r="G6" s="139">
        <v>0</v>
      </c>
      <c r="H6" s="139">
        <v>0</v>
      </c>
      <c r="I6" s="139">
        <v>0</v>
      </c>
      <c r="J6" s="139">
        <v>0</v>
      </c>
      <c r="K6" s="139">
        <v>0</v>
      </c>
      <c r="L6" s="139">
        <v>0</v>
      </c>
      <c r="M6" s="139">
        <v>0</v>
      </c>
      <c r="N6" s="139">
        <v>0</v>
      </c>
      <c r="O6" s="139">
        <v>0</v>
      </c>
      <c r="P6" s="139">
        <v>0</v>
      </c>
      <c r="Q6" s="139">
        <v>0</v>
      </c>
      <c r="R6" s="139">
        <v>0</v>
      </c>
      <c r="S6" s="139">
        <v>0</v>
      </c>
      <c r="T6" s="139">
        <v>37441792545</v>
      </c>
      <c r="U6" s="139">
        <v>10479051111</v>
      </c>
      <c r="V6" s="139">
        <f>47920843656-T6-U6</f>
        <v>0</v>
      </c>
      <c r="W6" s="139">
        <v>0</v>
      </c>
      <c r="X6" s="139">
        <v>222303700</v>
      </c>
      <c r="Y6" s="139">
        <v>0</v>
      </c>
      <c r="Z6" s="139">
        <v>18202174372</v>
      </c>
      <c r="AA6" s="139">
        <v>3066011246</v>
      </c>
      <c r="AB6" s="139">
        <v>18421892927</v>
      </c>
      <c r="AC6" s="139">
        <v>0</v>
      </c>
      <c r="AD6" s="139">
        <v>0</v>
      </c>
      <c r="AE6" s="139">
        <v>1921820628</v>
      </c>
      <c r="AF6" s="139">
        <v>316107350</v>
      </c>
      <c r="AG6" s="139">
        <v>0</v>
      </c>
      <c r="AH6" s="139">
        <v>0</v>
      </c>
      <c r="AI6" s="139">
        <v>0</v>
      </c>
      <c r="AJ6" s="139">
        <v>281262830</v>
      </c>
      <c r="AK6" s="139">
        <v>59261815932</v>
      </c>
      <c r="AL6" s="139">
        <v>33379938357</v>
      </c>
      <c r="AM6" s="139">
        <f>92641754289-AK6-AL6</f>
        <v>0</v>
      </c>
      <c r="AN6" s="139">
        <v>0</v>
      </c>
      <c r="AO6" s="139">
        <v>569985479.86000061</v>
      </c>
      <c r="AP6" s="139">
        <v>3655445943</v>
      </c>
      <c r="AQ6" s="139">
        <v>4330784505</v>
      </c>
      <c r="AR6" s="139">
        <v>0</v>
      </c>
      <c r="AS6" s="139">
        <v>2318803092</v>
      </c>
      <c r="AT6" s="139">
        <v>0</v>
      </c>
      <c r="AU6" s="139">
        <f>AU7+AU8</f>
        <v>710375149</v>
      </c>
      <c r="AV6" s="139">
        <v>2120799857</v>
      </c>
      <c r="AW6" s="139">
        <v>1709065441</v>
      </c>
      <c r="AX6" s="139">
        <v>0</v>
      </c>
      <c r="AY6" s="139">
        <v>0</v>
      </c>
      <c r="AZ6" s="139">
        <v>454471493</v>
      </c>
      <c r="BA6" s="139">
        <v>913780932.20000005</v>
      </c>
      <c r="BB6" s="139">
        <f>C6+T6+AK6</f>
        <v>96703608477</v>
      </c>
      <c r="BC6" s="139">
        <f>+D6+U6+AL6</f>
        <v>43858989468</v>
      </c>
      <c r="BD6" s="139">
        <f>+E6+V6+AM6</f>
        <v>0</v>
      </c>
      <c r="BE6" s="139">
        <f>+F6+W6+AN6</f>
        <v>0</v>
      </c>
      <c r="BF6" s="139">
        <f>+G6+X6+AO6</f>
        <v>792289179.86000061</v>
      </c>
      <c r="BG6" s="139">
        <f>BB6+BC6+BD6+BE6+BF6</f>
        <v>141354887124.85999</v>
      </c>
      <c r="BH6" s="139">
        <f>H6+Y6+AP6</f>
        <v>3655445943</v>
      </c>
      <c r="BI6" s="139">
        <f>I6+Z6+AQ6</f>
        <v>22532958877</v>
      </c>
      <c r="BJ6" s="139">
        <f>J6+AA6+AR6</f>
        <v>3066011246</v>
      </c>
      <c r="BK6" s="139">
        <f>K6+AB6+AS6</f>
        <v>20740696019</v>
      </c>
      <c r="BL6" s="139">
        <f>BH6+BI6+BJ6+BK6</f>
        <v>49995112085</v>
      </c>
      <c r="BM6" s="153">
        <f>L6+AC6+AT6</f>
        <v>0</v>
      </c>
      <c r="BN6" s="153">
        <f>M6+AD6+AU6</f>
        <v>710375149</v>
      </c>
      <c r="BO6" s="153">
        <f>N6+AE6+AV6</f>
        <v>4042620485</v>
      </c>
      <c r="BP6" s="153">
        <f>O6+AF6+AW6</f>
        <v>2025172791</v>
      </c>
      <c r="BQ6" s="153">
        <f>BM6+BN6+BO6+BP6</f>
        <v>6778168425</v>
      </c>
      <c r="BR6" s="153">
        <f>P6+AG6+AX6</f>
        <v>0</v>
      </c>
      <c r="BS6" s="153">
        <f>Q6+AH6+AY6</f>
        <v>0</v>
      </c>
      <c r="BT6" s="153">
        <f>R6+AI6+AZ6</f>
        <v>454471493</v>
      </c>
      <c r="BU6" s="153">
        <f>S6+AJ6+BA6</f>
        <v>1195043762.2</v>
      </c>
      <c r="BV6" s="153">
        <f>BR6+BS6+BT6+BU6</f>
        <v>1649515255.2</v>
      </c>
      <c r="BW6" s="153">
        <f>+BG6-BL6</f>
        <v>91359775039.859985</v>
      </c>
    </row>
    <row r="7" spans="1:75" ht="32.25" hidden="1" customHeight="1" outlineLevel="1" x14ac:dyDescent="0.25">
      <c r="A7" s="330"/>
      <c r="B7" s="325" t="s">
        <v>219</v>
      </c>
      <c r="C7" s="331">
        <v>0</v>
      </c>
      <c r="D7" s="331">
        <v>0</v>
      </c>
      <c r="E7" s="331">
        <v>0</v>
      </c>
      <c r="F7" s="331">
        <v>0</v>
      </c>
      <c r="G7" s="331">
        <v>0</v>
      </c>
      <c r="H7" s="326">
        <v>0</v>
      </c>
      <c r="I7" s="326">
        <v>0</v>
      </c>
      <c r="J7" s="326">
        <v>0</v>
      </c>
      <c r="K7" s="326">
        <v>0</v>
      </c>
      <c r="L7" s="326">
        <v>0</v>
      </c>
      <c r="M7" s="326">
        <v>0</v>
      </c>
      <c r="N7" s="326">
        <v>0</v>
      </c>
      <c r="O7" s="326">
        <v>0</v>
      </c>
      <c r="P7" s="331">
        <v>0</v>
      </c>
      <c r="Q7" s="326">
        <v>0</v>
      </c>
      <c r="R7" s="326">
        <v>0</v>
      </c>
      <c r="S7" s="326">
        <v>0</v>
      </c>
      <c r="T7" s="331">
        <v>37441792545</v>
      </c>
      <c r="U7" s="331">
        <v>10479051111</v>
      </c>
      <c r="V7" s="331">
        <v>-2246507553</v>
      </c>
      <c r="W7" s="331">
        <v>0</v>
      </c>
      <c r="X7" s="331">
        <v>222303700</v>
      </c>
      <c r="Y7" s="331">
        <v>0</v>
      </c>
      <c r="Z7" s="331">
        <v>15955666819</v>
      </c>
      <c r="AA7" s="331">
        <v>3066011246</v>
      </c>
      <c r="AB7" s="331">
        <v>18421892927</v>
      </c>
      <c r="AC7" s="331">
        <v>0</v>
      </c>
      <c r="AD7" s="331">
        <v>0</v>
      </c>
      <c r="AE7" s="331">
        <v>781287833</v>
      </c>
      <c r="AF7" s="331">
        <v>316107350</v>
      </c>
      <c r="AG7" s="331"/>
      <c r="AH7" s="331">
        <v>0</v>
      </c>
      <c r="AI7" s="331">
        <v>0</v>
      </c>
      <c r="AJ7" s="331">
        <v>281262830</v>
      </c>
      <c r="AK7" s="331">
        <v>59261815932</v>
      </c>
      <c r="AL7" s="331">
        <v>33379938357</v>
      </c>
      <c r="AM7" s="331">
        <v>-3555708956</v>
      </c>
      <c r="AN7" s="331">
        <v>0</v>
      </c>
      <c r="AO7" s="331">
        <v>569985479.86000061</v>
      </c>
      <c r="AP7" s="331">
        <v>0</v>
      </c>
      <c r="AQ7" s="331">
        <v>4330784505</v>
      </c>
      <c r="AR7" s="331">
        <v>99736987</v>
      </c>
      <c r="AS7" s="331">
        <v>2318803092</v>
      </c>
      <c r="AT7" s="331">
        <v>0</v>
      </c>
      <c r="AU7" s="331">
        <v>710375149</v>
      </c>
      <c r="AV7" s="331">
        <v>980267061</v>
      </c>
      <c r="AW7" s="331">
        <v>1709065441</v>
      </c>
      <c r="AX7" s="331">
        <v>0</v>
      </c>
      <c r="AY7" s="331"/>
      <c r="AZ7" s="331">
        <v>454471493</v>
      </c>
      <c r="BA7" s="331">
        <v>913780932.20000005</v>
      </c>
      <c r="BB7" s="331">
        <f>C7+T7+AK7</f>
        <v>96703608477</v>
      </c>
      <c r="BC7" s="331">
        <f>+D7+U7+AL7</f>
        <v>43858989468</v>
      </c>
      <c r="BD7" s="331">
        <f>+E7+V7+AM7</f>
        <v>-5802216509</v>
      </c>
      <c r="BE7" s="331">
        <f>+F7+W7+AN7</f>
        <v>0</v>
      </c>
      <c r="BF7" s="331">
        <f t="shared" ref="BF7:BF30" si="0">+G7+X7+AO7</f>
        <v>792289179.86000061</v>
      </c>
      <c r="BG7" s="331">
        <f t="shared" ref="BG7:BG30" si="1">BB7+BC7+BD7+BE7+BF7</f>
        <v>135552670615.86</v>
      </c>
      <c r="BH7" s="331">
        <f>H7+Y7+AP7</f>
        <v>0</v>
      </c>
      <c r="BI7" s="331">
        <f>I7+Z7+AQ7</f>
        <v>20286451324</v>
      </c>
      <c r="BJ7" s="331">
        <f>J7+AA7+AR7</f>
        <v>3165748233</v>
      </c>
      <c r="BK7" s="331">
        <f t="shared" ref="BK7:BK30" si="2">K7+AB7+AS7</f>
        <v>20740696019</v>
      </c>
      <c r="BL7" s="331">
        <f t="shared" ref="BL7:BL30" si="3">BH7+BI7+BJ7+BK7</f>
        <v>44192895576</v>
      </c>
      <c r="BM7" s="331">
        <f>L7+AC7+AT7</f>
        <v>0</v>
      </c>
      <c r="BN7" s="331">
        <f>M7+AD7+AU7</f>
        <v>710375149</v>
      </c>
      <c r="BO7" s="331">
        <f>N7+AE7+AV7</f>
        <v>1761554894</v>
      </c>
      <c r="BP7" s="331">
        <f t="shared" ref="BP7:BP30" si="4">O7+AF7+AW7</f>
        <v>2025172791</v>
      </c>
      <c r="BQ7" s="331">
        <f t="shared" ref="BQ7:BQ30" si="5">BM7+BN7+BO7+BP7</f>
        <v>4497102834</v>
      </c>
      <c r="BR7" s="331">
        <f>P7+AG7+AX7</f>
        <v>0</v>
      </c>
      <c r="BS7" s="331">
        <f>Q7+AH7+AY7</f>
        <v>0</v>
      </c>
      <c r="BT7" s="331">
        <f>R7+AI7+AZ7</f>
        <v>454471493</v>
      </c>
      <c r="BU7" s="331">
        <f t="shared" ref="BU7:BU30" si="6">S7+AJ7+BA7</f>
        <v>1195043762.2</v>
      </c>
      <c r="BV7" s="331">
        <f t="shared" ref="BV7:BV30" si="7">BR7+BS7+BT7+BU7</f>
        <v>1649515255.2</v>
      </c>
      <c r="BW7" s="331"/>
    </row>
    <row r="8" spans="1:75" ht="32.25" hidden="1" customHeight="1" outlineLevel="1" x14ac:dyDescent="0.25">
      <c r="A8" s="330"/>
      <c r="B8" s="325" t="s">
        <v>220</v>
      </c>
      <c r="C8" s="331">
        <v>0</v>
      </c>
      <c r="D8" s="331">
        <v>0</v>
      </c>
      <c r="E8" s="331">
        <v>0</v>
      </c>
      <c r="F8" s="331">
        <v>0</v>
      </c>
      <c r="G8" s="331">
        <v>0</v>
      </c>
      <c r="H8" s="326">
        <v>0</v>
      </c>
      <c r="I8" s="326">
        <v>0</v>
      </c>
      <c r="J8" s="326">
        <v>0</v>
      </c>
      <c r="K8" s="326">
        <v>0</v>
      </c>
      <c r="L8" s="326">
        <v>0</v>
      </c>
      <c r="M8" s="326">
        <v>0</v>
      </c>
      <c r="N8" s="326">
        <v>0</v>
      </c>
      <c r="O8" s="326">
        <v>0</v>
      </c>
      <c r="P8" s="331">
        <v>0</v>
      </c>
      <c r="Q8" s="326">
        <v>0</v>
      </c>
      <c r="R8" s="326">
        <v>0</v>
      </c>
      <c r="S8" s="326">
        <v>0</v>
      </c>
      <c r="T8" s="331">
        <v>0</v>
      </c>
      <c r="U8" s="331">
        <v>0</v>
      </c>
      <c r="V8" s="331">
        <v>2246507553</v>
      </c>
      <c r="W8" s="331">
        <v>0</v>
      </c>
      <c r="X8" s="331">
        <v>0</v>
      </c>
      <c r="Y8" s="331">
        <v>0</v>
      </c>
      <c r="Z8" s="331">
        <v>2246507553</v>
      </c>
      <c r="AA8" s="331">
        <v>0</v>
      </c>
      <c r="AB8" s="331">
        <v>0</v>
      </c>
      <c r="AC8" s="331">
        <v>0</v>
      </c>
      <c r="AD8" s="331">
        <v>0</v>
      </c>
      <c r="AE8" s="331">
        <v>1140532795</v>
      </c>
      <c r="AF8" s="331">
        <v>0</v>
      </c>
      <c r="AG8" s="331"/>
      <c r="AH8" s="331">
        <v>0</v>
      </c>
      <c r="AI8" s="331">
        <v>0</v>
      </c>
      <c r="AJ8" s="331">
        <v>0</v>
      </c>
      <c r="AK8" s="331">
        <v>0</v>
      </c>
      <c r="AL8" s="331">
        <v>0</v>
      </c>
      <c r="AM8" s="331">
        <v>3555708956</v>
      </c>
      <c r="AN8" s="331">
        <v>0</v>
      </c>
      <c r="AO8" s="331">
        <v>0</v>
      </c>
      <c r="AP8" s="331">
        <v>3655445943</v>
      </c>
      <c r="AQ8" s="331">
        <v>0</v>
      </c>
      <c r="AR8" s="331">
        <v>-99736987</v>
      </c>
      <c r="AS8" s="331">
        <v>0</v>
      </c>
      <c r="AT8" s="331">
        <v>0</v>
      </c>
      <c r="AU8" s="331"/>
      <c r="AV8" s="331">
        <v>1140532796</v>
      </c>
      <c r="AW8" s="331">
        <v>0</v>
      </c>
      <c r="AX8" s="331">
        <v>0</v>
      </c>
      <c r="AY8" s="331"/>
      <c r="AZ8" s="331">
        <v>0</v>
      </c>
      <c r="BA8" s="331">
        <v>0</v>
      </c>
      <c r="BB8" s="331">
        <f>C8+T8+AK8</f>
        <v>0</v>
      </c>
      <c r="BC8" s="331">
        <f>+D8+U8+AL8</f>
        <v>0</v>
      </c>
      <c r="BD8" s="331">
        <f>+E8+V8+AM8</f>
        <v>5802216509</v>
      </c>
      <c r="BE8" s="331">
        <f>+F8+W8+AN8</f>
        <v>0</v>
      </c>
      <c r="BF8" s="331">
        <f t="shared" si="0"/>
        <v>0</v>
      </c>
      <c r="BG8" s="331">
        <f t="shared" si="1"/>
        <v>5802216509</v>
      </c>
      <c r="BH8" s="331">
        <f>H8+Y8+AP8</f>
        <v>3655445943</v>
      </c>
      <c r="BI8" s="331">
        <f>I8+Z8+AQ8</f>
        <v>2246507553</v>
      </c>
      <c r="BJ8" s="331">
        <f>J8+AA8+AR8</f>
        <v>-99736987</v>
      </c>
      <c r="BK8" s="331">
        <f t="shared" si="2"/>
        <v>0</v>
      </c>
      <c r="BL8" s="331">
        <f t="shared" si="3"/>
        <v>5802216509</v>
      </c>
      <c r="BM8" s="331">
        <f>L8+AC8+AT8</f>
        <v>0</v>
      </c>
      <c r="BN8" s="331">
        <f>M8+AD8+AU8</f>
        <v>0</v>
      </c>
      <c r="BO8" s="331">
        <f>N8+AE8+AV8</f>
        <v>2281065591</v>
      </c>
      <c r="BP8" s="331">
        <f t="shared" si="4"/>
        <v>0</v>
      </c>
      <c r="BQ8" s="331">
        <f t="shared" si="5"/>
        <v>2281065591</v>
      </c>
      <c r="BR8" s="331">
        <f>P8+AG8+AX8</f>
        <v>0</v>
      </c>
      <c r="BS8" s="331">
        <f>Q8+AH8+AY8</f>
        <v>0</v>
      </c>
      <c r="BT8" s="331">
        <f>R8+AI8+AZ8</f>
        <v>0</v>
      </c>
      <c r="BU8" s="331">
        <f t="shared" si="6"/>
        <v>0</v>
      </c>
      <c r="BV8" s="331">
        <f t="shared" si="7"/>
        <v>0</v>
      </c>
      <c r="BW8" s="331"/>
    </row>
    <row r="9" spans="1:75" ht="30" customHeight="1" collapsed="1" x14ac:dyDescent="0.25">
      <c r="A9" s="154"/>
      <c r="B9" s="274" t="s">
        <v>69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45887330666</v>
      </c>
      <c r="U9" s="139">
        <f>54267063466-T9</f>
        <v>8379732800</v>
      </c>
      <c r="V9" s="139">
        <v>0</v>
      </c>
      <c r="W9" s="139">
        <v>0</v>
      </c>
      <c r="X9" s="139">
        <v>203799462</v>
      </c>
      <c r="Y9" s="139">
        <v>0</v>
      </c>
      <c r="Z9" s="139">
        <v>4193887696</v>
      </c>
      <c r="AA9" s="139">
        <v>23244158273</v>
      </c>
      <c r="AB9" s="139">
        <v>5210131364</v>
      </c>
      <c r="AC9" s="139">
        <v>0</v>
      </c>
      <c r="AD9" s="139">
        <v>0</v>
      </c>
      <c r="AE9" s="139">
        <v>1288255995</v>
      </c>
      <c r="AF9" s="139">
        <v>22079911273</v>
      </c>
      <c r="AG9" s="139">
        <v>0</v>
      </c>
      <c r="AH9" s="139">
        <v>0</v>
      </c>
      <c r="AI9" s="139">
        <v>0</v>
      </c>
      <c r="AJ9" s="139">
        <v>101514140</v>
      </c>
      <c r="AK9" s="139">
        <v>42663738847</v>
      </c>
      <c r="AL9" s="139">
        <v>9414581223</v>
      </c>
      <c r="AM9" s="139">
        <f>52078320070-AK9-AL9</f>
        <v>0</v>
      </c>
      <c r="AN9" s="139">
        <v>0</v>
      </c>
      <c r="AO9" s="139">
        <v>86879240.760002136</v>
      </c>
      <c r="AP9" s="139">
        <v>88842544</v>
      </c>
      <c r="AQ9" s="139">
        <v>6316584625</v>
      </c>
      <c r="AR9" s="139">
        <v>344910011</v>
      </c>
      <c r="AS9" s="139">
        <v>3126697712</v>
      </c>
      <c r="AT9" s="139">
        <v>0</v>
      </c>
      <c r="AU9" s="139">
        <f>AU10+AU11</f>
        <v>88842544</v>
      </c>
      <c r="AV9" s="139">
        <v>2606602061</v>
      </c>
      <c r="AW9" s="139">
        <v>1954200515</v>
      </c>
      <c r="AX9" s="139">
        <v>0</v>
      </c>
      <c r="AY9" s="139">
        <v>0</v>
      </c>
      <c r="AZ9" s="139">
        <v>0</v>
      </c>
      <c r="BA9" s="139">
        <v>498820980</v>
      </c>
      <c r="BB9" s="139">
        <f>C9+T9+AK9</f>
        <v>88551069513</v>
      </c>
      <c r="BC9" s="139">
        <f>+D9+U9+AL9</f>
        <v>17794314023</v>
      </c>
      <c r="BD9" s="139">
        <f>+E9+V9+AM9</f>
        <v>0</v>
      </c>
      <c r="BE9" s="139">
        <f>+F9+W9+AN9</f>
        <v>0</v>
      </c>
      <c r="BF9" s="139">
        <f t="shared" si="0"/>
        <v>290678702.76000214</v>
      </c>
      <c r="BG9" s="139">
        <f t="shared" si="1"/>
        <v>106636062238.76001</v>
      </c>
      <c r="BH9" s="139">
        <f>H9+Y9+AP9</f>
        <v>88842544</v>
      </c>
      <c r="BI9" s="139">
        <f>I9+Z9+AQ9</f>
        <v>10510472321</v>
      </c>
      <c r="BJ9" s="139">
        <f>J9+AA9+AR9</f>
        <v>23589068284</v>
      </c>
      <c r="BK9" s="139">
        <f t="shared" si="2"/>
        <v>8336829076</v>
      </c>
      <c r="BL9" s="139">
        <f t="shared" si="3"/>
        <v>42525212225</v>
      </c>
      <c r="BM9" s="153">
        <f>L9+AC9+AT9</f>
        <v>0</v>
      </c>
      <c r="BN9" s="153">
        <f>M9+AD9+AU9</f>
        <v>88842544</v>
      </c>
      <c r="BO9" s="153">
        <f>N9+AE9+AV9</f>
        <v>3894858056</v>
      </c>
      <c r="BP9" s="153">
        <f t="shared" si="4"/>
        <v>24034111788</v>
      </c>
      <c r="BQ9" s="153">
        <f t="shared" si="5"/>
        <v>28017812388</v>
      </c>
      <c r="BR9" s="153">
        <f>P9+AG9+AX9</f>
        <v>0</v>
      </c>
      <c r="BS9" s="153">
        <f>Q9+AH9+AY9</f>
        <v>0</v>
      </c>
      <c r="BT9" s="153">
        <f>R9+AI9+AZ9</f>
        <v>0</v>
      </c>
      <c r="BU9" s="153">
        <f t="shared" si="6"/>
        <v>600335120</v>
      </c>
      <c r="BV9" s="153">
        <f t="shared" si="7"/>
        <v>600335120</v>
      </c>
      <c r="BW9" s="153">
        <f>+BG9-BL9</f>
        <v>64110850013.76001</v>
      </c>
    </row>
    <row r="10" spans="1:75" ht="30" hidden="1" customHeight="1" outlineLevel="1" x14ac:dyDescent="0.25">
      <c r="A10" s="333"/>
      <c r="B10" s="325" t="s">
        <v>221</v>
      </c>
      <c r="C10" s="331">
        <v>0</v>
      </c>
      <c r="D10" s="331">
        <v>0</v>
      </c>
      <c r="E10" s="331">
        <v>0</v>
      </c>
      <c r="F10" s="331">
        <v>0</v>
      </c>
      <c r="G10" s="331">
        <v>0</v>
      </c>
      <c r="H10" s="331">
        <v>0</v>
      </c>
      <c r="I10" s="326">
        <v>0</v>
      </c>
      <c r="J10" s="326">
        <v>0</v>
      </c>
      <c r="K10" s="326">
        <v>0</v>
      </c>
      <c r="L10" s="331"/>
      <c r="M10" s="326">
        <v>0</v>
      </c>
      <c r="N10" s="326">
        <v>0</v>
      </c>
      <c r="O10" s="326">
        <v>0</v>
      </c>
      <c r="P10" s="331"/>
      <c r="Q10" s="326">
        <v>0</v>
      </c>
      <c r="R10" s="326">
        <v>0</v>
      </c>
      <c r="S10" s="326">
        <v>0</v>
      </c>
      <c r="T10" s="331">
        <v>45887330666</v>
      </c>
      <c r="U10" s="331">
        <v>8379732800</v>
      </c>
      <c r="V10" s="331">
        <v>-2753239839</v>
      </c>
      <c r="W10" s="331">
        <v>0</v>
      </c>
      <c r="X10" s="331">
        <v>203799462</v>
      </c>
      <c r="Y10" s="331">
        <v>0</v>
      </c>
      <c r="Z10" s="331">
        <v>1440647857</v>
      </c>
      <c r="AA10" s="331">
        <v>23244158273</v>
      </c>
      <c r="AB10" s="331">
        <v>5210131364</v>
      </c>
      <c r="AC10" s="331">
        <v>0</v>
      </c>
      <c r="AD10" s="331"/>
      <c r="AE10" s="331">
        <v>147723200</v>
      </c>
      <c r="AF10" s="331">
        <v>22079911273</v>
      </c>
      <c r="AG10" s="331"/>
      <c r="AH10" s="331"/>
      <c r="AI10" s="331">
        <v>0</v>
      </c>
      <c r="AJ10" s="331">
        <v>101514140</v>
      </c>
      <c r="AK10" s="331">
        <v>42663738847</v>
      </c>
      <c r="AL10" s="331">
        <v>9414581223</v>
      </c>
      <c r="AM10" s="331">
        <v>-2559824331</v>
      </c>
      <c r="AN10" s="331">
        <v>0</v>
      </c>
      <c r="AO10" s="331">
        <v>86879240.760002136</v>
      </c>
      <c r="AP10" s="331">
        <v>88842544</v>
      </c>
      <c r="AQ10" s="331">
        <v>3756760294</v>
      </c>
      <c r="AR10" s="331">
        <v>344910011</v>
      </c>
      <c r="AS10" s="331">
        <v>3126697712</v>
      </c>
      <c r="AT10" s="331">
        <v>0</v>
      </c>
      <c r="AU10" s="331">
        <v>88842544</v>
      </c>
      <c r="AV10" s="331">
        <v>1466069265</v>
      </c>
      <c r="AW10" s="331">
        <v>1954200515</v>
      </c>
      <c r="AX10" s="331">
        <v>0</v>
      </c>
      <c r="AY10" s="331"/>
      <c r="AZ10" s="331">
        <v>0</v>
      </c>
      <c r="BA10" s="331">
        <v>498820980</v>
      </c>
      <c r="BB10" s="331">
        <f>C10+T10+AK10</f>
        <v>88551069513</v>
      </c>
      <c r="BC10" s="331">
        <f>+D10+U10+AL10</f>
        <v>17794314023</v>
      </c>
      <c r="BD10" s="331">
        <f>+E10+V10+AM10</f>
        <v>-5313064170</v>
      </c>
      <c r="BE10" s="331">
        <f>+F10+W10+AN10</f>
        <v>0</v>
      </c>
      <c r="BF10" s="331">
        <f t="shared" si="0"/>
        <v>290678702.76000214</v>
      </c>
      <c r="BG10" s="331">
        <f t="shared" si="1"/>
        <v>101322998068.76001</v>
      </c>
      <c r="BH10" s="331">
        <f>H10+Y10+AP10</f>
        <v>88842544</v>
      </c>
      <c r="BI10" s="331">
        <f>I10+Z10+AQ10</f>
        <v>5197408151</v>
      </c>
      <c r="BJ10" s="331">
        <f>J10+AA10+AR10</f>
        <v>23589068284</v>
      </c>
      <c r="BK10" s="331">
        <f t="shared" si="2"/>
        <v>8336829076</v>
      </c>
      <c r="BL10" s="331">
        <f t="shared" si="3"/>
        <v>37212148055</v>
      </c>
      <c r="BM10" s="331">
        <f>L10+AC10+AT10</f>
        <v>0</v>
      </c>
      <c r="BN10" s="331">
        <f>M10+AD10+AU10</f>
        <v>88842544</v>
      </c>
      <c r="BO10" s="331">
        <f>N10+AE10+AV10</f>
        <v>1613792465</v>
      </c>
      <c r="BP10" s="331">
        <f t="shared" si="4"/>
        <v>24034111788</v>
      </c>
      <c r="BQ10" s="331">
        <f t="shared" si="5"/>
        <v>25736746797</v>
      </c>
      <c r="BR10" s="331">
        <f>P10+AG10+AX10</f>
        <v>0</v>
      </c>
      <c r="BS10" s="331">
        <f>Q10+AH10+AY10</f>
        <v>0</v>
      </c>
      <c r="BT10" s="331">
        <f>R10+AI10+AZ10</f>
        <v>0</v>
      </c>
      <c r="BU10" s="331">
        <f t="shared" si="6"/>
        <v>600335120</v>
      </c>
      <c r="BV10" s="331">
        <f t="shared" si="7"/>
        <v>600335120</v>
      </c>
      <c r="BW10" s="331"/>
    </row>
    <row r="11" spans="1:75" ht="30" hidden="1" customHeight="1" outlineLevel="1" x14ac:dyDescent="0.25">
      <c r="A11" s="333"/>
      <c r="B11" s="325" t="s">
        <v>222</v>
      </c>
      <c r="C11" s="331">
        <v>0</v>
      </c>
      <c r="D11" s="331">
        <v>0</v>
      </c>
      <c r="E11" s="331">
        <v>0</v>
      </c>
      <c r="F11" s="331">
        <v>0</v>
      </c>
      <c r="G11" s="331">
        <v>0</v>
      </c>
      <c r="H11" s="331">
        <v>0</v>
      </c>
      <c r="I11" s="326">
        <v>0</v>
      </c>
      <c r="J11" s="326">
        <v>0</v>
      </c>
      <c r="K11" s="326">
        <v>0</v>
      </c>
      <c r="L11" s="331"/>
      <c r="M11" s="326">
        <v>0</v>
      </c>
      <c r="N11" s="326">
        <v>0</v>
      </c>
      <c r="O11" s="326">
        <v>0</v>
      </c>
      <c r="P11" s="331"/>
      <c r="Q11" s="326">
        <v>0</v>
      </c>
      <c r="R11" s="326">
        <v>0</v>
      </c>
      <c r="S11" s="326">
        <v>0</v>
      </c>
      <c r="T11" s="331">
        <v>0</v>
      </c>
      <c r="U11" s="331">
        <v>0</v>
      </c>
      <c r="V11" s="331">
        <v>2753239839</v>
      </c>
      <c r="W11" s="331">
        <v>0</v>
      </c>
      <c r="X11" s="331">
        <v>0</v>
      </c>
      <c r="Y11" s="331">
        <v>0</v>
      </c>
      <c r="Z11" s="331">
        <v>2753239839</v>
      </c>
      <c r="AA11" s="331">
        <v>0</v>
      </c>
      <c r="AB11" s="331">
        <v>0</v>
      </c>
      <c r="AC11" s="331">
        <v>0</v>
      </c>
      <c r="AD11" s="331"/>
      <c r="AE11" s="331">
        <v>1140532795</v>
      </c>
      <c r="AF11" s="331">
        <v>0</v>
      </c>
      <c r="AG11" s="331"/>
      <c r="AH11" s="331"/>
      <c r="AI11" s="331">
        <v>0</v>
      </c>
      <c r="AJ11" s="331">
        <v>0</v>
      </c>
      <c r="AK11" s="331">
        <v>0</v>
      </c>
      <c r="AL11" s="331">
        <v>0</v>
      </c>
      <c r="AM11" s="331">
        <v>2559824331</v>
      </c>
      <c r="AN11" s="331">
        <v>0</v>
      </c>
      <c r="AO11" s="331">
        <v>0</v>
      </c>
      <c r="AP11" s="331">
        <v>0</v>
      </c>
      <c r="AQ11" s="331">
        <v>2559824331</v>
      </c>
      <c r="AR11" s="331">
        <v>0</v>
      </c>
      <c r="AS11" s="331">
        <v>0</v>
      </c>
      <c r="AT11" s="331">
        <v>0</v>
      </c>
      <c r="AU11" s="331">
        <v>0</v>
      </c>
      <c r="AV11" s="331">
        <v>1140532796</v>
      </c>
      <c r="AW11" s="331">
        <v>0</v>
      </c>
      <c r="AX11" s="331">
        <v>0</v>
      </c>
      <c r="AY11" s="331"/>
      <c r="AZ11" s="331">
        <v>0</v>
      </c>
      <c r="BA11" s="331">
        <v>0</v>
      </c>
      <c r="BB11" s="331">
        <f>C11+T11+AK11</f>
        <v>0</v>
      </c>
      <c r="BC11" s="331">
        <f>+D11+U11+AL11</f>
        <v>0</v>
      </c>
      <c r="BD11" s="331">
        <f>+E11+V11+AM11</f>
        <v>5313064170</v>
      </c>
      <c r="BE11" s="331">
        <f>+F11+W11+AN11</f>
        <v>0</v>
      </c>
      <c r="BF11" s="331">
        <f t="shared" si="0"/>
        <v>0</v>
      </c>
      <c r="BG11" s="331">
        <f t="shared" si="1"/>
        <v>5313064170</v>
      </c>
      <c r="BH11" s="331">
        <f>H11+Y11+AP11</f>
        <v>0</v>
      </c>
      <c r="BI11" s="331">
        <f>I11+Z11+AQ11</f>
        <v>5313064170</v>
      </c>
      <c r="BJ11" s="331">
        <f>J11+AA11+AR11</f>
        <v>0</v>
      </c>
      <c r="BK11" s="331">
        <f t="shared" si="2"/>
        <v>0</v>
      </c>
      <c r="BL11" s="331">
        <f t="shared" si="3"/>
        <v>5313064170</v>
      </c>
      <c r="BM11" s="331">
        <f>L11+AC11+AT11</f>
        <v>0</v>
      </c>
      <c r="BN11" s="331">
        <f>M11+AD11+AU11</f>
        <v>0</v>
      </c>
      <c r="BO11" s="331">
        <f>N11+AE11+AV11</f>
        <v>2281065591</v>
      </c>
      <c r="BP11" s="331">
        <f t="shared" si="4"/>
        <v>0</v>
      </c>
      <c r="BQ11" s="331">
        <f t="shared" si="5"/>
        <v>2281065591</v>
      </c>
      <c r="BR11" s="331">
        <f>P11+AG11+AX11</f>
        <v>0</v>
      </c>
      <c r="BS11" s="331">
        <f>Q11+AH11+AY11</f>
        <v>0</v>
      </c>
      <c r="BT11" s="331">
        <f>R11+AI11+AZ11</f>
        <v>0</v>
      </c>
      <c r="BU11" s="331">
        <f t="shared" si="6"/>
        <v>0</v>
      </c>
      <c r="BV11" s="331">
        <f t="shared" si="7"/>
        <v>0</v>
      </c>
      <c r="BW11" s="331"/>
    </row>
    <row r="12" spans="1:75" ht="26.25" customHeight="1" collapsed="1" x14ac:dyDescent="0.25">
      <c r="A12" s="154"/>
      <c r="B12" s="274" t="s">
        <v>70</v>
      </c>
      <c r="C12" s="139">
        <v>0</v>
      </c>
      <c r="D12" s="139">
        <v>0</v>
      </c>
      <c r="E12" s="139">
        <v>0</v>
      </c>
      <c r="F12" s="139">
        <v>0</v>
      </c>
      <c r="G12" s="139">
        <v>0</v>
      </c>
      <c r="H12" s="139">
        <v>0</v>
      </c>
      <c r="I12" s="139">
        <v>0</v>
      </c>
      <c r="J12" s="139">
        <v>0</v>
      </c>
      <c r="K12" s="139">
        <v>0</v>
      </c>
      <c r="L12" s="139">
        <v>0</v>
      </c>
      <c r="M12" s="139">
        <v>0</v>
      </c>
      <c r="N12" s="139">
        <v>0</v>
      </c>
      <c r="O12" s="139">
        <v>0</v>
      </c>
      <c r="P12" s="139">
        <v>0</v>
      </c>
      <c r="Q12" s="139">
        <v>0</v>
      </c>
      <c r="R12" s="139">
        <v>0</v>
      </c>
      <c r="S12" s="139">
        <v>0</v>
      </c>
      <c r="T12" s="139">
        <v>10000000000</v>
      </c>
      <c r="U12" s="139">
        <f>32470478192-T12</f>
        <v>22470478192</v>
      </c>
      <c r="V12" s="139">
        <v>0</v>
      </c>
      <c r="W12" s="139">
        <v>0</v>
      </c>
      <c r="X12" s="139">
        <v>2746308515</v>
      </c>
      <c r="Y12" s="139">
        <v>0</v>
      </c>
      <c r="Z12" s="139">
        <v>576668955</v>
      </c>
      <c r="AA12" s="139">
        <v>0</v>
      </c>
      <c r="AB12" s="139">
        <v>399993591</v>
      </c>
      <c r="AC12" s="139">
        <v>0</v>
      </c>
      <c r="AD12" s="139">
        <v>0</v>
      </c>
      <c r="AE12" s="139">
        <v>245088800</v>
      </c>
      <c r="AF12" s="139">
        <v>14775837</v>
      </c>
      <c r="AG12" s="139">
        <v>0</v>
      </c>
      <c r="AH12" s="139">
        <v>0</v>
      </c>
      <c r="AI12" s="139">
        <v>0</v>
      </c>
      <c r="AJ12" s="139">
        <v>239590637</v>
      </c>
      <c r="AK12" s="139">
        <v>0</v>
      </c>
      <c r="AL12" s="153">
        <v>0</v>
      </c>
      <c r="AM12" s="153">
        <v>0</v>
      </c>
      <c r="AN12" s="153">
        <v>0</v>
      </c>
      <c r="AO12" s="153">
        <v>0</v>
      </c>
      <c r="AP12" s="153">
        <v>0</v>
      </c>
      <c r="AQ12" s="153">
        <v>0</v>
      </c>
      <c r="AR12" s="153">
        <v>0</v>
      </c>
      <c r="AS12" s="153">
        <v>0</v>
      </c>
      <c r="AT12" s="153">
        <v>0</v>
      </c>
      <c r="AU12" s="153">
        <v>0</v>
      </c>
      <c r="AV12" s="153">
        <v>0</v>
      </c>
      <c r="AW12" s="153">
        <v>0</v>
      </c>
      <c r="AX12" s="153">
        <v>0</v>
      </c>
      <c r="AY12" s="153">
        <v>0</v>
      </c>
      <c r="AZ12" s="153">
        <v>0</v>
      </c>
      <c r="BA12" s="153">
        <v>0</v>
      </c>
      <c r="BB12" s="153">
        <f>C12+T12+AK12</f>
        <v>10000000000</v>
      </c>
      <c r="BC12" s="153">
        <f>+D12+U12+AL12</f>
        <v>22470478192</v>
      </c>
      <c r="BD12" s="153">
        <f>+E12+V12+AM12</f>
        <v>0</v>
      </c>
      <c r="BE12" s="153">
        <f>+F12+W12+AN12</f>
        <v>0</v>
      </c>
      <c r="BF12" s="153">
        <f t="shared" si="0"/>
        <v>2746308515</v>
      </c>
      <c r="BG12" s="153">
        <f t="shared" si="1"/>
        <v>35216786707</v>
      </c>
      <c r="BH12" s="153">
        <f>H12+Y12+AP12</f>
        <v>0</v>
      </c>
      <c r="BI12" s="153">
        <f>I12+Z12+AQ12</f>
        <v>576668955</v>
      </c>
      <c r="BJ12" s="153">
        <f>J12+AA12+AR12</f>
        <v>0</v>
      </c>
      <c r="BK12" s="153">
        <f t="shared" si="2"/>
        <v>399993591</v>
      </c>
      <c r="BL12" s="153">
        <f t="shared" si="3"/>
        <v>976662546</v>
      </c>
      <c r="BM12" s="153">
        <f>L12+AC12+AT12</f>
        <v>0</v>
      </c>
      <c r="BN12" s="153">
        <f>M12+AD12+AU12</f>
        <v>0</v>
      </c>
      <c r="BO12" s="153">
        <f>N12+AE12+AV12</f>
        <v>245088800</v>
      </c>
      <c r="BP12" s="153">
        <f t="shared" si="4"/>
        <v>14775837</v>
      </c>
      <c r="BQ12" s="153">
        <f t="shared" si="5"/>
        <v>259864637</v>
      </c>
      <c r="BR12" s="153">
        <f>P12+AG12+AX12</f>
        <v>0</v>
      </c>
      <c r="BS12" s="153">
        <f>Q12+AH12+AY12</f>
        <v>0</v>
      </c>
      <c r="BT12" s="153">
        <f>R12+AI12+AZ12</f>
        <v>0</v>
      </c>
      <c r="BU12" s="153">
        <f t="shared" si="6"/>
        <v>239590637</v>
      </c>
      <c r="BV12" s="153">
        <f t="shared" si="7"/>
        <v>239590637</v>
      </c>
      <c r="BW12" s="153">
        <f>+BG12-BL12</f>
        <v>34240124161</v>
      </c>
    </row>
    <row r="13" spans="1:75" x14ac:dyDescent="0.25">
      <c r="A13" s="154"/>
      <c r="B13" s="274" t="s">
        <v>112</v>
      </c>
      <c r="C13" s="139">
        <v>0</v>
      </c>
      <c r="D13" s="139">
        <v>0</v>
      </c>
      <c r="E13" s="139">
        <v>0</v>
      </c>
      <c r="F13" s="139">
        <v>0</v>
      </c>
      <c r="G13" s="139">
        <v>0</v>
      </c>
      <c r="H13" s="139">
        <v>0</v>
      </c>
      <c r="I13" s="139">
        <v>0</v>
      </c>
      <c r="J13" s="139">
        <v>0</v>
      </c>
      <c r="K13" s="139">
        <v>0</v>
      </c>
      <c r="L13" s="139">
        <v>0</v>
      </c>
      <c r="M13" s="139">
        <v>0</v>
      </c>
      <c r="N13" s="139">
        <v>0</v>
      </c>
      <c r="O13" s="139">
        <v>0</v>
      </c>
      <c r="P13" s="139">
        <v>0</v>
      </c>
      <c r="Q13" s="139">
        <v>0</v>
      </c>
      <c r="R13" s="139">
        <v>0</v>
      </c>
      <c r="S13" s="139">
        <v>0</v>
      </c>
      <c r="T13" s="139">
        <v>0</v>
      </c>
      <c r="U13" s="139">
        <v>1769559344</v>
      </c>
      <c r="V13" s="139">
        <v>0</v>
      </c>
      <c r="W13" s="139">
        <v>0</v>
      </c>
      <c r="X13" s="139">
        <v>0</v>
      </c>
      <c r="Y13" s="139">
        <v>0</v>
      </c>
      <c r="Z13" s="139">
        <v>0</v>
      </c>
      <c r="AA13" s="139">
        <v>0</v>
      </c>
      <c r="AB13" s="139">
        <v>0</v>
      </c>
      <c r="AC13" s="139">
        <v>0</v>
      </c>
      <c r="AD13" s="139">
        <v>0</v>
      </c>
      <c r="AE13" s="139">
        <v>0</v>
      </c>
      <c r="AF13" s="139">
        <v>0</v>
      </c>
      <c r="AG13" s="139">
        <v>0</v>
      </c>
      <c r="AH13" s="139">
        <v>0</v>
      </c>
      <c r="AI13" s="139">
        <v>0</v>
      </c>
      <c r="AJ13" s="139">
        <v>0</v>
      </c>
      <c r="AK13" s="139">
        <v>20000000000</v>
      </c>
      <c r="AL13" s="153">
        <v>1525420060</v>
      </c>
      <c r="AM13" s="153">
        <f>21525420060-AK13-AL13</f>
        <v>0</v>
      </c>
      <c r="AN13" s="153">
        <v>0</v>
      </c>
      <c r="AO13" s="153">
        <v>0</v>
      </c>
      <c r="AP13" s="153">
        <v>0</v>
      </c>
      <c r="AQ13" s="153">
        <v>0</v>
      </c>
      <c r="AR13" s="153">
        <v>0</v>
      </c>
      <c r="AS13" s="153">
        <v>0</v>
      </c>
      <c r="AT13" s="153">
        <v>0</v>
      </c>
      <c r="AU13" s="153">
        <v>0</v>
      </c>
      <c r="AV13" s="153">
        <v>0</v>
      </c>
      <c r="AW13" s="153">
        <v>0</v>
      </c>
      <c r="AX13" s="153">
        <v>0</v>
      </c>
      <c r="AY13" s="153">
        <v>0</v>
      </c>
      <c r="AZ13" s="153">
        <v>0</v>
      </c>
      <c r="BA13" s="153">
        <v>0</v>
      </c>
      <c r="BB13" s="153">
        <f>C13+T13+AK13</f>
        <v>20000000000</v>
      </c>
      <c r="BC13" s="153">
        <f>+D13+U13+AL13</f>
        <v>3294979404</v>
      </c>
      <c r="BD13" s="153">
        <f>+E13+V13+AM13</f>
        <v>0</v>
      </c>
      <c r="BE13" s="153">
        <f>+F13+W13+AN13</f>
        <v>0</v>
      </c>
      <c r="BF13" s="153">
        <f t="shared" si="0"/>
        <v>0</v>
      </c>
      <c r="BG13" s="153">
        <f t="shared" si="1"/>
        <v>23294979404</v>
      </c>
      <c r="BH13" s="153">
        <f>H13+Y13+AP13</f>
        <v>0</v>
      </c>
      <c r="BI13" s="153">
        <f>I13+Z13+AQ13</f>
        <v>0</v>
      </c>
      <c r="BJ13" s="153">
        <f>J13+AA13+AR13</f>
        <v>0</v>
      </c>
      <c r="BK13" s="153">
        <f t="shared" si="2"/>
        <v>0</v>
      </c>
      <c r="BL13" s="153">
        <f t="shared" si="3"/>
        <v>0</v>
      </c>
      <c r="BM13" s="153">
        <f>L13+AC13+AT13</f>
        <v>0</v>
      </c>
      <c r="BN13" s="153">
        <f>M13+AD13+AU13</f>
        <v>0</v>
      </c>
      <c r="BO13" s="153">
        <f>N13+AE13+AV13</f>
        <v>0</v>
      </c>
      <c r="BP13" s="153">
        <f t="shared" si="4"/>
        <v>0</v>
      </c>
      <c r="BQ13" s="153">
        <f t="shared" si="5"/>
        <v>0</v>
      </c>
      <c r="BR13" s="153">
        <f>P13+AG13+AX13</f>
        <v>0</v>
      </c>
      <c r="BS13" s="153">
        <f>Q13+AH13+AY13</f>
        <v>0</v>
      </c>
      <c r="BT13" s="153">
        <f>R13+AI13+AZ13</f>
        <v>0</v>
      </c>
      <c r="BU13" s="153">
        <f t="shared" si="6"/>
        <v>0</v>
      </c>
      <c r="BV13" s="153">
        <f t="shared" si="7"/>
        <v>0</v>
      </c>
      <c r="BW13" s="153">
        <f>+BG13-BL13</f>
        <v>23294979404</v>
      </c>
    </row>
    <row r="14" spans="1:75" x14ac:dyDescent="0.25">
      <c r="B14" s="274" t="s">
        <v>71</v>
      </c>
      <c r="C14" s="139">
        <v>0</v>
      </c>
      <c r="D14" s="139">
        <v>0</v>
      </c>
      <c r="E14" s="139">
        <v>0</v>
      </c>
      <c r="F14" s="139">
        <v>0</v>
      </c>
      <c r="G14" s="139">
        <v>0</v>
      </c>
      <c r="H14" s="139">
        <v>0</v>
      </c>
      <c r="I14" s="139">
        <v>0</v>
      </c>
      <c r="J14" s="139">
        <v>0</v>
      </c>
      <c r="K14" s="139">
        <v>0</v>
      </c>
      <c r="L14" s="139">
        <v>0</v>
      </c>
      <c r="M14" s="139">
        <v>0</v>
      </c>
      <c r="N14" s="139">
        <v>0</v>
      </c>
      <c r="O14" s="139">
        <v>0</v>
      </c>
      <c r="P14" s="139">
        <v>0</v>
      </c>
      <c r="Q14" s="139">
        <v>0</v>
      </c>
      <c r="R14" s="139">
        <v>0</v>
      </c>
      <c r="S14" s="139">
        <v>0</v>
      </c>
      <c r="T14" s="139">
        <v>2746161002</v>
      </c>
      <c r="U14" s="139">
        <f>3865205168-T14</f>
        <v>1119044166</v>
      </c>
      <c r="V14" s="139">
        <f>V15+V16</f>
        <v>0</v>
      </c>
      <c r="W14" s="139">
        <v>0</v>
      </c>
      <c r="X14" s="139">
        <v>0</v>
      </c>
      <c r="Y14" s="139">
        <v>0</v>
      </c>
      <c r="Z14" s="139">
        <v>0</v>
      </c>
      <c r="AA14" s="139">
        <v>0</v>
      </c>
      <c r="AB14" s="139">
        <v>0</v>
      </c>
      <c r="AC14" s="139">
        <v>0</v>
      </c>
      <c r="AD14" s="139">
        <v>0</v>
      </c>
      <c r="AE14" s="139">
        <v>0</v>
      </c>
      <c r="AF14" s="139">
        <v>0</v>
      </c>
      <c r="AG14" s="139">
        <v>0</v>
      </c>
      <c r="AH14" s="139">
        <v>0</v>
      </c>
      <c r="AI14" s="139">
        <v>0</v>
      </c>
      <c r="AJ14" s="139">
        <v>0</v>
      </c>
      <c r="AK14" s="139">
        <v>6919898085</v>
      </c>
      <c r="AL14" s="153">
        <v>334027992</v>
      </c>
      <c r="AM14" s="153">
        <f>7253926077-AK14-AL14</f>
        <v>0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3">
        <v>0</v>
      </c>
      <c r="AT14" s="153">
        <v>0</v>
      </c>
      <c r="AU14" s="153">
        <v>0</v>
      </c>
      <c r="AV14" s="153">
        <v>0</v>
      </c>
      <c r="AW14" s="153">
        <v>0</v>
      </c>
      <c r="AX14" s="153">
        <v>0</v>
      </c>
      <c r="AY14" s="153">
        <v>0</v>
      </c>
      <c r="AZ14" s="153">
        <v>0</v>
      </c>
      <c r="BA14" s="153">
        <v>0</v>
      </c>
      <c r="BB14" s="153">
        <f>C14+T14+AK14</f>
        <v>9666059087</v>
      </c>
      <c r="BC14" s="153">
        <f>+D14+U14+AL14</f>
        <v>1453072158</v>
      </c>
      <c r="BD14" s="153">
        <f>+E14+V14+AM14</f>
        <v>0</v>
      </c>
      <c r="BE14" s="153">
        <f>+F14+W14+AN14</f>
        <v>0</v>
      </c>
      <c r="BF14" s="153">
        <f t="shared" si="0"/>
        <v>0</v>
      </c>
      <c r="BG14" s="153">
        <f t="shared" si="1"/>
        <v>11119131245</v>
      </c>
      <c r="BH14" s="153">
        <f>H14+Y14+AP14</f>
        <v>0</v>
      </c>
      <c r="BI14" s="153">
        <f>I14+Z14+AQ14</f>
        <v>0</v>
      </c>
      <c r="BJ14" s="153">
        <f>J14+AA14+AR14</f>
        <v>0</v>
      </c>
      <c r="BK14" s="153">
        <f t="shared" si="2"/>
        <v>0</v>
      </c>
      <c r="BL14" s="153">
        <f t="shared" si="3"/>
        <v>0</v>
      </c>
      <c r="BM14" s="153">
        <f>L14+AC14+AT14</f>
        <v>0</v>
      </c>
      <c r="BN14" s="153">
        <f>M14+AD14+AU14</f>
        <v>0</v>
      </c>
      <c r="BO14" s="153">
        <f>N14+AE14+AV14</f>
        <v>0</v>
      </c>
      <c r="BP14" s="153">
        <f t="shared" si="4"/>
        <v>0</v>
      </c>
      <c r="BQ14" s="153">
        <f t="shared" si="5"/>
        <v>0</v>
      </c>
      <c r="BR14" s="153">
        <f>P14+AG14+AX14</f>
        <v>0</v>
      </c>
      <c r="BS14" s="153">
        <f>Q14+AH14+AY14</f>
        <v>0</v>
      </c>
      <c r="BT14" s="153">
        <f>R14+AI14+AZ14</f>
        <v>0</v>
      </c>
      <c r="BU14" s="153">
        <f t="shared" si="6"/>
        <v>0</v>
      </c>
      <c r="BV14" s="153">
        <f t="shared" si="7"/>
        <v>0</v>
      </c>
      <c r="BW14" s="153">
        <f>+BG14-BL14</f>
        <v>11119131245</v>
      </c>
    </row>
    <row r="15" spans="1:75" hidden="1" outlineLevel="1" x14ac:dyDescent="0.25">
      <c r="A15" s="330"/>
      <c r="B15" s="325" t="s">
        <v>223</v>
      </c>
      <c r="C15" s="331">
        <v>0</v>
      </c>
      <c r="D15" s="331">
        <v>0</v>
      </c>
      <c r="E15" s="331">
        <v>0</v>
      </c>
      <c r="F15" s="331">
        <v>0</v>
      </c>
      <c r="G15" s="331">
        <v>0</v>
      </c>
      <c r="H15" s="331">
        <v>0</v>
      </c>
      <c r="I15" s="326">
        <v>0</v>
      </c>
      <c r="J15" s="326">
        <v>0</v>
      </c>
      <c r="K15" s="326">
        <v>0</v>
      </c>
      <c r="L15" s="331"/>
      <c r="M15" s="326">
        <v>0</v>
      </c>
      <c r="N15" s="326">
        <v>0</v>
      </c>
      <c r="O15" s="326">
        <v>0</v>
      </c>
      <c r="P15" s="331"/>
      <c r="Q15" s="326">
        <v>0</v>
      </c>
      <c r="R15" s="326">
        <v>0</v>
      </c>
      <c r="S15" s="326">
        <v>0</v>
      </c>
      <c r="T15" s="331">
        <v>0</v>
      </c>
      <c r="U15" s="331">
        <v>0</v>
      </c>
      <c r="V15" s="326">
        <v>3006230342</v>
      </c>
      <c r="W15" s="326">
        <v>0</v>
      </c>
      <c r="X15" s="326">
        <v>0</v>
      </c>
      <c r="Y15" s="331"/>
      <c r="Z15" s="331">
        <v>0</v>
      </c>
      <c r="AA15" s="326">
        <v>0</v>
      </c>
      <c r="AB15" s="326">
        <v>0</v>
      </c>
      <c r="AC15" s="331">
        <v>0</v>
      </c>
      <c r="AD15" s="326"/>
      <c r="AE15" s="326">
        <v>0</v>
      </c>
      <c r="AF15" s="326">
        <v>0</v>
      </c>
      <c r="AG15" s="331"/>
      <c r="AH15" s="326"/>
      <c r="AI15" s="326">
        <v>0</v>
      </c>
      <c r="AJ15" s="326">
        <v>0</v>
      </c>
      <c r="AK15" s="326">
        <v>0</v>
      </c>
      <c r="AL15" s="332">
        <v>0</v>
      </c>
      <c r="AM15" s="334">
        <v>2427778926</v>
      </c>
      <c r="AN15" s="334">
        <v>0</v>
      </c>
      <c r="AO15" s="334">
        <v>0</v>
      </c>
      <c r="AP15" s="332">
        <v>0</v>
      </c>
      <c r="AQ15" s="334">
        <v>0</v>
      </c>
      <c r="AR15" s="334">
        <v>0</v>
      </c>
      <c r="AS15" s="334">
        <v>0</v>
      </c>
      <c r="AT15" s="332">
        <v>0</v>
      </c>
      <c r="AU15" s="334">
        <v>0</v>
      </c>
      <c r="AV15" s="334">
        <v>0</v>
      </c>
      <c r="AW15" s="334">
        <v>0</v>
      </c>
      <c r="AX15" s="332">
        <v>0</v>
      </c>
      <c r="AY15" s="332"/>
      <c r="AZ15" s="332">
        <v>0</v>
      </c>
      <c r="BA15" s="332">
        <v>0</v>
      </c>
      <c r="BB15" s="332">
        <f>C15+T15+AK15</f>
        <v>0</v>
      </c>
      <c r="BC15" s="332">
        <f>+D15+U15+AL15</f>
        <v>0</v>
      </c>
      <c r="BD15" s="332">
        <f>+E15+V15+AM15</f>
        <v>5434009268</v>
      </c>
      <c r="BE15" s="332">
        <f>+F15+W15+AN15</f>
        <v>0</v>
      </c>
      <c r="BF15" s="332">
        <f t="shared" si="0"/>
        <v>0</v>
      </c>
      <c r="BG15" s="332">
        <f t="shared" si="1"/>
        <v>5434009268</v>
      </c>
      <c r="BH15" s="332">
        <f>H15+Y15+AP15</f>
        <v>0</v>
      </c>
      <c r="BI15" s="332">
        <f>I15+Z15+AQ15</f>
        <v>0</v>
      </c>
      <c r="BJ15" s="332">
        <f>J15+AA15+AR15</f>
        <v>0</v>
      </c>
      <c r="BK15" s="332">
        <f t="shared" si="2"/>
        <v>0</v>
      </c>
      <c r="BL15" s="332">
        <f t="shared" si="3"/>
        <v>0</v>
      </c>
      <c r="BM15" s="332">
        <f>L15+AC15+AT15</f>
        <v>0</v>
      </c>
      <c r="BN15" s="332">
        <f>M15+AD15+AU15</f>
        <v>0</v>
      </c>
      <c r="BO15" s="332">
        <f>N15+AE15+AV15</f>
        <v>0</v>
      </c>
      <c r="BP15" s="332">
        <f t="shared" si="4"/>
        <v>0</v>
      </c>
      <c r="BQ15" s="332">
        <f t="shared" si="5"/>
        <v>0</v>
      </c>
      <c r="BR15" s="332">
        <f>P15+AG15+AX15</f>
        <v>0</v>
      </c>
      <c r="BS15" s="332">
        <f>Q15+AH15+AY15</f>
        <v>0</v>
      </c>
      <c r="BT15" s="332">
        <f>R15+AI15+AZ15</f>
        <v>0</v>
      </c>
      <c r="BU15" s="332">
        <f t="shared" si="6"/>
        <v>0</v>
      </c>
      <c r="BV15" s="332">
        <f t="shared" si="7"/>
        <v>0</v>
      </c>
      <c r="BW15" s="332"/>
    </row>
    <row r="16" spans="1:75" hidden="1" outlineLevel="1" x14ac:dyDescent="0.25">
      <c r="A16" s="330"/>
      <c r="B16" s="325" t="s">
        <v>224</v>
      </c>
      <c r="C16" s="331">
        <v>0</v>
      </c>
      <c r="D16" s="331">
        <v>0</v>
      </c>
      <c r="E16" s="331">
        <v>0</v>
      </c>
      <c r="F16" s="331">
        <v>0</v>
      </c>
      <c r="G16" s="331">
        <v>0</v>
      </c>
      <c r="H16" s="331">
        <v>0</v>
      </c>
      <c r="I16" s="326">
        <v>0</v>
      </c>
      <c r="J16" s="326">
        <v>0</v>
      </c>
      <c r="K16" s="326">
        <v>0</v>
      </c>
      <c r="L16" s="331"/>
      <c r="M16" s="326">
        <v>0</v>
      </c>
      <c r="N16" s="326">
        <v>0</v>
      </c>
      <c r="O16" s="326">
        <v>0</v>
      </c>
      <c r="P16" s="331"/>
      <c r="Q16" s="326">
        <v>0</v>
      </c>
      <c r="R16" s="326">
        <v>0</v>
      </c>
      <c r="S16" s="326">
        <v>0</v>
      </c>
      <c r="T16" s="331">
        <v>2746161002</v>
      </c>
      <c r="U16" s="331">
        <v>1119044166</v>
      </c>
      <c r="V16" s="326">
        <v>-3006230342</v>
      </c>
      <c r="W16" s="326">
        <v>0</v>
      </c>
      <c r="X16" s="326">
        <v>0</v>
      </c>
      <c r="Y16" s="331"/>
      <c r="Z16" s="331">
        <v>0</v>
      </c>
      <c r="AA16" s="326">
        <v>0</v>
      </c>
      <c r="AB16" s="326">
        <v>0</v>
      </c>
      <c r="AC16" s="331">
        <v>0</v>
      </c>
      <c r="AD16" s="326"/>
      <c r="AE16" s="326">
        <v>0</v>
      </c>
      <c r="AF16" s="326">
        <v>0</v>
      </c>
      <c r="AG16" s="331"/>
      <c r="AH16" s="326"/>
      <c r="AI16" s="326">
        <v>0</v>
      </c>
      <c r="AJ16" s="326">
        <v>0</v>
      </c>
      <c r="AK16" s="331">
        <v>6919898085</v>
      </c>
      <c r="AL16" s="332">
        <v>334027992</v>
      </c>
      <c r="AM16" s="334">
        <v>-2427778926</v>
      </c>
      <c r="AN16" s="334">
        <v>0</v>
      </c>
      <c r="AO16" s="334">
        <v>0</v>
      </c>
      <c r="AP16" s="332">
        <v>0</v>
      </c>
      <c r="AQ16" s="334">
        <v>0</v>
      </c>
      <c r="AR16" s="334">
        <v>0</v>
      </c>
      <c r="AS16" s="334">
        <v>0</v>
      </c>
      <c r="AT16" s="332">
        <v>0</v>
      </c>
      <c r="AU16" s="334">
        <v>0</v>
      </c>
      <c r="AV16" s="334">
        <v>0</v>
      </c>
      <c r="AW16" s="334">
        <v>0</v>
      </c>
      <c r="AX16" s="332">
        <v>0</v>
      </c>
      <c r="AY16" s="332"/>
      <c r="AZ16" s="332">
        <v>0</v>
      </c>
      <c r="BA16" s="332">
        <v>0</v>
      </c>
      <c r="BB16" s="332">
        <f>C16+T16+AK16</f>
        <v>9666059087</v>
      </c>
      <c r="BC16" s="332">
        <f>+D16+U16+AL16</f>
        <v>1453072158</v>
      </c>
      <c r="BD16" s="332">
        <f>+E16+V16+AM16</f>
        <v>-5434009268</v>
      </c>
      <c r="BE16" s="332">
        <f>+F16+W16+AN16</f>
        <v>0</v>
      </c>
      <c r="BF16" s="332">
        <f t="shared" si="0"/>
        <v>0</v>
      </c>
      <c r="BG16" s="332">
        <f t="shared" si="1"/>
        <v>5685121977</v>
      </c>
      <c r="BH16" s="332">
        <f>H16+Y16+AP16</f>
        <v>0</v>
      </c>
      <c r="BI16" s="332">
        <f>I16+Z16+AQ16</f>
        <v>0</v>
      </c>
      <c r="BJ16" s="332">
        <f>J16+AA16+AR16</f>
        <v>0</v>
      </c>
      <c r="BK16" s="332">
        <f t="shared" si="2"/>
        <v>0</v>
      </c>
      <c r="BL16" s="332">
        <f t="shared" si="3"/>
        <v>0</v>
      </c>
      <c r="BM16" s="332">
        <f>L16+AC16+AT16</f>
        <v>0</v>
      </c>
      <c r="BN16" s="332">
        <f>M16+AD16+AU16</f>
        <v>0</v>
      </c>
      <c r="BO16" s="332">
        <f>N16+AE16+AV16</f>
        <v>0</v>
      </c>
      <c r="BP16" s="332">
        <f t="shared" si="4"/>
        <v>0</v>
      </c>
      <c r="BQ16" s="332">
        <f t="shared" si="5"/>
        <v>0</v>
      </c>
      <c r="BR16" s="332">
        <f>P16+AG16+AX16</f>
        <v>0</v>
      </c>
      <c r="BS16" s="332">
        <f>Q16+AH16+AY16</f>
        <v>0</v>
      </c>
      <c r="BT16" s="332">
        <f>R16+AI16+AZ16</f>
        <v>0</v>
      </c>
      <c r="BU16" s="332">
        <f t="shared" si="6"/>
        <v>0</v>
      </c>
      <c r="BV16" s="332">
        <f t="shared" si="7"/>
        <v>0</v>
      </c>
      <c r="BW16" s="332"/>
    </row>
    <row r="17" spans="1:75" collapsed="1" x14ac:dyDescent="0.25">
      <c r="B17" s="274" t="s">
        <v>72</v>
      </c>
      <c r="C17" s="139">
        <v>0</v>
      </c>
      <c r="D17" s="139">
        <v>0</v>
      </c>
      <c r="E17" s="139">
        <v>0</v>
      </c>
      <c r="F17" s="139">
        <v>0</v>
      </c>
      <c r="G17" s="139">
        <v>0</v>
      </c>
      <c r="H17" s="139">
        <v>0</v>
      </c>
      <c r="I17" s="139">
        <v>0</v>
      </c>
      <c r="J17" s="139">
        <v>0</v>
      </c>
      <c r="K17" s="139">
        <v>0</v>
      </c>
      <c r="L17" s="139">
        <v>0</v>
      </c>
      <c r="M17" s="139">
        <v>0</v>
      </c>
      <c r="N17" s="139">
        <v>0</v>
      </c>
      <c r="O17" s="139">
        <v>0</v>
      </c>
      <c r="P17" s="139">
        <v>0</v>
      </c>
      <c r="Q17" s="139">
        <v>0</v>
      </c>
      <c r="R17" s="139">
        <v>0</v>
      </c>
      <c r="S17" s="139">
        <v>0</v>
      </c>
      <c r="T17" s="139">
        <v>79108147560</v>
      </c>
      <c r="U17" s="139">
        <f>97255674148-T17</f>
        <v>18147526588</v>
      </c>
      <c r="V17" s="139">
        <v>0</v>
      </c>
      <c r="W17" s="139">
        <v>0</v>
      </c>
      <c r="X17" s="139">
        <v>0</v>
      </c>
      <c r="Y17" s="139">
        <v>0</v>
      </c>
      <c r="Z17" s="139">
        <v>0</v>
      </c>
      <c r="AA17" s="139">
        <v>0</v>
      </c>
      <c r="AB17" s="139">
        <v>26014337982</v>
      </c>
      <c r="AC17" s="139">
        <v>0</v>
      </c>
      <c r="AD17" s="139">
        <v>0</v>
      </c>
      <c r="AE17" s="139">
        <v>0</v>
      </c>
      <c r="AF17" s="139">
        <v>0</v>
      </c>
      <c r="AG17" s="139">
        <v>0</v>
      </c>
      <c r="AH17" s="139">
        <v>0</v>
      </c>
      <c r="AI17" s="139">
        <v>0</v>
      </c>
      <c r="AJ17" s="139">
        <v>0</v>
      </c>
      <c r="AK17" s="139">
        <v>20891852440</v>
      </c>
      <c r="AL17" s="153">
        <v>9019406056</v>
      </c>
      <c r="AM17" s="153">
        <v>0</v>
      </c>
      <c r="AN17" s="153">
        <v>0</v>
      </c>
      <c r="AO17" s="153">
        <v>0</v>
      </c>
      <c r="AP17" s="153">
        <v>0</v>
      </c>
      <c r="AQ17" s="153">
        <v>0</v>
      </c>
      <c r="AR17" s="153">
        <v>0</v>
      </c>
      <c r="AS17" s="153">
        <v>0</v>
      </c>
      <c r="AT17" s="153">
        <v>0</v>
      </c>
      <c r="AU17" s="153">
        <v>0</v>
      </c>
      <c r="AV17" s="153">
        <v>0</v>
      </c>
      <c r="AW17" s="153">
        <v>0</v>
      </c>
      <c r="AX17" s="153">
        <v>0</v>
      </c>
      <c r="AY17" s="153">
        <v>0</v>
      </c>
      <c r="AZ17" s="153">
        <v>0</v>
      </c>
      <c r="BA17" s="153">
        <v>0</v>
      </c>
      <c r="BB17" s="153">
        <f>C17+T17+AK17</f>
        <v>100000000000</v>
      </c>
      <c r="BC17" s="153">
        <f>+D17+U17+AL17</f>
        <v>27166932644</v>
      </c>
      <c r="BD17" s="153">
        <f>+E17+V17+AM17</f>
        <v>0</v>
      </c>
      <c r="BE17" s="153">
        <f>+F17+W17+AN17</f>
        <v>0</v>
      </c>
      <c r="BF17" s="153">
        <f t="shared" si="0"/>
        <v>0</v>
      </c>
      <c r="BG17" s="153">
        <f t="shared" si="1"/>
        <v>127166932644</v>
      </c>
      <c r="BH17" s="153">
        <f>H17+Y17+AP17</f>
        <v>0</v>
      </c>
      <c r="BI17" s="153">
        <f>I17+Z17+AQ17</f>
        <v>0</v>
      </c>
      <c r="BJ17" s="153">
        <f>J17+AA17+AR17</f>
        <v>0</v>
      </c>
      <c r="BK17" s="153">
        <f t="shared" si="2"/>
        <v>26014337982</v>
      </c>
      <c r="BL17" s="153">
        <f t="shared" si="3"/>
        <v>26014337982</v>
      </c>
      <c r="BM17" s="153">
        <f>L17+AC17+AT17</f>
        <v>0</v>
      </c>
      <c r="BN17" s="153">
        <f>M17+AD17+AU17</f>
        <v>0</v>
      </c>
      <c r="BO17" s="153">
        <f>N17+AE17+AV17</f>
        <v>0</v>
      </c>
      <c r="BP17" s="153">
        <f t="shared" si="4"/>
        <v>0</v>
      </c>
      <c r="BQ17" s="153">
        <f t="shared" si="5"/>
        <v>0</v>
      </c>
      <c r="BR17" s="153">
        <f>P17+AG17+AX17</f>
        <v>0</v>
      </c>
      <c r="BS17" s="153">
        <f>Q17+AH17+AY17</f>
        <v>0</v>
      </c>
      <c r="BT17" s="153">
        <f>R17+AI17+AZ17</f>
        <v>0</v>
      </c>
      <c r="BU17" s="153">
        <f t="shared" si="6"/>
        <v>0</v>
      </c>
      <c r="BV17" s="153">
        <f t="shared" si="7"/>
        <v>0</v>
      </c>
      <c r="BW17" s="153">
        <f>+BG17-BL17</f>
        <v>101152594662</v>
      </c>
    </row>
    <row r="18" spans="1:75" ht="36" x14ac:dyDescent="0.25">
      <c r="B18" s="274" t="s">
        <v>73</v>
      </c>
      <c r="C18" s="139">
        <v>0</v>
      </c>
      <c r="D18" s="139">
        <v>0</v>
      </c>
      <c r="E18" s="139">
        <v>0</v>
      </c>
      <c r="F18" s="139">
        <v>0</v>
      </c>
      <c r="G18" s="139">
        <v>0</v>
      </c>
      <c r="H18" s="139">
        <v>0</v>
      </c>
      <c r="I18" s="139">
        <v>0</v>
      </c>
      <c r="J18" s="139">
        <v>0</v>
      </c>
      <c r="K18" s="139">
        <v>0</v>
      </c>
      <c r="L18" s="139">
        <v>0</v>
      </c>
      <c r="M18" s="139">
        <v>0</v>
      </c>
      <c r="N18" s="139">
        <v>0</v>
      </c>
      <c r="O18" s="139">
        <v>0</v>
      </c>
      <c r="P18" s="139">
        <v>0</v>
      </c>
      <c r="Q18" s="139">
        <v>0</v>
      </c>
      <c r="R18" s="139">
        <v>0</v>
      </c>
      <c r="S18" s="139">
        <v>0</v>
      </c>
      <c r="T18" s="139">
        <v>500000000</v>
      </c>
      <c r="U18" s="139">
        <v>0</v>
      </c>
      <c r="V18" s="139">
        <v>0</v>
      </c>
      <c r="W18" s="139">
        <v>0</v>
      </c>
      <c r="X18" s="139">
        <v>0</v>
      </c>
      <c r="Y18" s="139">
        <v>0</v>
      </c>
      <c r="Z18" s="139">
        <v>0</v>
      </c>
      <c r="AA18" s="139">
        <v>0</v>
      </c>
      <c r="AB18" s="139">
        <v>0</v>
      </c>
      <c r="AC18" s="139">
        <v>0</v>
      </c>
      <c r="AD18" s="139">
        <v>0</v>
      </c>
      <c r="AE18" s="139">
        <v>0</v>
      </c>
      <c r="AF18" s="139">
        <v>0</v>
      </c>
      <c r="AG18" s="139">
        <v>0</v>
      </c>
      <c r="AH18" s="139">
        <v>0</v>
      </c>
      <c r="AI18" s="139">
        <v>0</v>
      </c>
      <c r="AJ18" s="139">
        <v>0</v>
      </c>
      <c r="AK18" s="139">
        <v>0</v>
      </c>
      <c r="AL18" s="153">
        <v>0</v>
      </c>
      <c r="AM18" s="153">
        <v>0</v>
      </c>
      <c r="AN18" s="153">
        <v>0</v>
      </c>
      <c r="AO18" s="153">
        <v>0</v>
      </c>
      <c r="AP18" s="153">
        <v>0</v>
      </c>
      <c r="AQ18" s="153">
        <v>0</v>
      </c>
      <c r="AR18" s="153">
        <v>0</v>
      </c>
      <c r="AS18" s="153">
        <v>0</v>
      </c>
      <c r="AT18" s="153">
        <v>0</v>
      </c>
      <c r="AU18" s="153">
        <v>0</v>
      </c>
      <c r="AV18" s="153">
        <v>0</v>
      </c>
      <c r="AW18" s="153">
        <v>0</v>
      </c>
      <c r="AX18" s="153">
        <v>0</v>
      </c>
      <c r="AY18" s="153">
        <v>0</v>
      </c>
      <c r="AZ18" s="153">
        <v>0</v>
      </c>
      <c r="BA18" s="153">
        <v>0</v>
      </c>
      <c r="BB18" s="153">
        <f>C18+T18+AK18</f>
        <v>500000000</v>
      </c>
      <c r="BC18" s="153">
        <f>+D18+U18+AL18</f>
        <v>0</v>
      </c>
      <c r="BD18" s="153">
        <f>+E18+V18+AM18</f>
        <v>0</v>
      </c>
      <c r="BE18" s="153">
        <f>+F18+W18+AN18</f>
        <v>0</v>
      </c>
      <c r="BF18" s="153">
        <f t="shared" si="0"/>
        <v>0</v>
      </c>
      <c r="BG18" s="153">
        <f t="shared" si="1"/>
        <v>500000000</v>
      </c>
      <c r="BH18" s="153">
        <f>H18+Y18+AP18</f>
        <v>0</v>
      </c>
      <c r="BI18" s="153">
        <f>I18+Z18+AQ18</f>
        <v>0</v>
      </c>
      <c r="BJ18" s="153">
        <f>J18+AA18+AR18</f>
        <v>0</v>
      </c>
      <c r="BK18" s="153">
        <f t="shared" si="2"/>
        <v>0</v>
      </c>
      <c r="BL18" s="153">
        <f t="shared" si="3"/>
        <v>0</v>
      </c>
      <c r="BM18" s="153">
        <f>L18+AC18+AT18</f>
        <v>0</v>
      </c>
      <c r="BN18" s="153">
        <f>M18+AD18+AU18</f>
        <v>0</v>
      </c>
      <c r="BO18" s="153">
        <f>N18+AE18+AV18</f>
        <v>0</v>
      </c>
      <c r="BP18" s="153">
        <f t="shared" si="4"/>
        <v>0</v>
      </c>
      <c r="BQ18" s="153">
        <f t="shared" si="5"/>
        <v>0</v>
      </c>
      <c r="BR18" s="153">
        <f>P18+AG18+AX18</f>
        <v>0</v>
      </c>
      <c r="BS18" s="153">
        <f>Q18+AH18+AY18</f>
        <v>0</v>
      </c>
      <c r="BT18" s="153">
        <f>R18+AI18+AZ18</f>
        <v>0</v>
      </c>
      <c r="BU18" s="153">
        <f t="shared" si="6"/>
        <v>0</v>
      </c>
      <c r="BV18" s="153">
        <f t="shared" si="7"/>
        <v>0</v>
      </c>
      <c r="BW18" s="153">
        <f>+BG18-BL18</f>
        <v>500000000</v>
      </c>
    </row>
    <row r="19" spans="1:75" ht="24" customHeight="1" x14ac:dyDescent="0.25">
      <c r="B19" s="155" t="s">
        <v>74</v>
      </c>
      <c r="C19" s="156">
        <f>SUM(C6:C18)</f>
        <v>0</v>
      </c>
      <c r="D19" s="156">
        <f>SUM(D6:D18)</f>
        <v>0</v>
      </c>
      <c r="E19" s="156">
        <f>SUM(E6:E18)</f>
        <v>0</v>
      </c>
      <c r="F19" s="156">
        <f>SUM(F6:F18)</f>
        <v>0</v>
      </c>
      <c r="G19" s="156">
        <f>SUM(G6:G18)</f>
        <v>0</v>
      </c>
      <c r="H19" s="156">
        <f>SUM(H6:H18)</f>
        <v>0</v>
      </c>
      <c r="I19" s="156">
        <f>SUM(I6:I18)</f>
        <v>0</v>
      </c>
      <c r="J19" s="156">
        <f>SUM(J6:J18)</f>
        <v>0</v>
      </c>
      <c r="K19" s="156">
        <f>SUM(K6:K18)</f>
        <v>0</v>
      </c>
      <c r="L19" s="156">
        <f>SUM(L6:L18)</f>
        <v>0</v>
      </c>
      <c r="M19" s="156">
        <f>SUM(M6:M18)</f>
        <v>0</v>
      </c>
      <c r="N19" s="156">
        <f>SUM(N6:N18)</f>
        <v>0</v>
      </c>
      <c r="O19" s="156">
        <f>SUM(O6:O18)</f>
        <v>0</v>
      </c>
      <c r="P19" s="156">
        <f>SUM(P6:P18)</f>
        <v>0</v>
      </c>
      <c r="Q19" s="156">
        <f>SUM(Q6:Q18)</f>
        <v>0</v>
      </c>
      <c r="R19" s="156">
        <f>SUM(R6:R18)</f>
        <v>0</v>
      </c>
      <c r="S19" s="156">
        <f>SUM(S6:S18)</f>
        <v>0</v>
      </c>
      <c r="T19" s="156">
        <f>T6+T9+T12+T13+T14+T17+T18</f>
        <v>175683431773</v>
      </c>
      <c r="U19" s="156">
        <f>U6+U9+U12+U13+U14+U17+U18</f>
        <v>62365392201</v>
      </c>
      <c r="V19" s="156">
        <f>V6+V9+V12+V13+V14+V17+V18</f>
        <v>0</v>
      </c>
      <c r="W19" s="156">
        <f t="shared" ref="W19:Y19" si="8">W6+W9+W12+W13+W14+W17+W18</f>
        <v>0</v>
      </c>
      <c r="X19" s="156">
        <v>3172411677</v>
      </c>
      <c r="Y19" s="156">
        <f t="shared" si="8"/>
        <v>0</v>
      </c>
      <c r="Z19" s="156">
        <f t="shared" ref="Z19" si="9">Z6+Z9+Z12+Z13+Z14+Z17+Z18</f>
        <v>22972731023</v>
      </c>
      <c r="AA19" s="156">
        <f t="shared" ref="AA19" si="10">AA6+AA9+AA12+AA13+AA14+AA17+AA18</f>
        <v>26310169519</v>
      </c>
      <c r="AB19" s="156">
        <f t="shared" ref="AB19" si="11">AB6+AB9+AB12+AB13+AB14+AB17+AB18</f>
        <v>50046355864</v>
      </c>
      <c r="AC19" s="156">
        <f t="shared" ref="AC19" si="12">AC6+AC9+AC12+AC13+AC14+AC17+AC18</f>
        <v>0</v>
      </c>
      <c r="AD19" s="156">
        <f t="shared" ref="AD19" si="13">AD6+AD9+AD12+AD13+AD14+AD17+AD18</f>
        <v>0</v>
      </c>
      <c r="AE19" s="156">
        <f t="shared" ref="AE19" si="14">AE6+AE9+AE12+AE13+AE14+AE17+AE18</f>
        <v>3455165423</v>
      </c>
      <c r="AF19" s="156">
        <f t="shared" ref="AF19" si="15">AF6+AF9+AF12+AF13+AF14+AF17+AF18</f>
        <v>22410794460</v>
      </c>
      <c r="AG19" s="156">
        <f>AG6+AG9+AG12+AG13+AG14+AG17+AG18</f>
        <v>0</v>
      </c>
      <c r="AH19" s="156">
        <f>AH6+AH9+AH12+AH13+AH14+AH17+AH18</f>
        <v>0</v>
      </c>
      <c r="AI19" s="156">
        <f t="shared" ref="AI19" si="16">AI6+AI9+AI12+AI13+AI14+AI17+AI18</f>
        <v>0</v>
      </c>
      <c r="AJ19" s="156">
        <v>622367607</v>
      </c>
      <c r="AK19" s="156">
        <f>AK6+AK9+AK12+AK13+AK14+AK17+AK18</f>
        <v>149737305304</v>
      </c>
      <c r="AL19" s="156">
        <f t="shared" ref="AL19:AO19" si="17">AL6+AL9+AL12+AL13+AL14+AL17+AL18</f>
        <v>53673373688</v>
      </c>
      <c r="AM19" s="156">
        <f t="shared" si="17"/>
        <v>0</v>
      </c>
      <c r="AN19" s="156">
        <f t="shared" si="17"/>
        <v>0</v>
      </c>
      <c r="AO19" s="156">
        <f t="shared" si="17"/>
        <v>656864720.62000275</v>
      </c>
      <c r="AP19" s="156">
        <f>AP6+AP9+AP12+AP13+AP14+AP17+AP18</f>
        <v>3744288487</v>
      </c>
      <c r="AQ19" s="156">
        <f>AQ6+AQ9+AQ12+AQ13+AQ14+AQ17+AQ18</f>
        <v>10647369130</v>
      </c>
      <c r="AR19" s="156">
        <f t="shared" ref="AR19:AS19" si="18">AR6+AR9+AR12+AR13+AR14+AR17+AR18</f>
        <v>344910011</v>
      </c>
      <c r="AS19" s="156">
        <f t="shared" si="18"/>
        <v>5445500804</v>
      </c>
      <c r="AT19" s="156">
        <f>AT6+AT9+AT12+AT13+AT14+AT17+AT18</f>
        <v>0</v>
      </c>
      <c r="AU19" s="156">
        <f>AU6+AU9+AU12+AU13+AU14+AU17+AU18</f>
        <v>799217693</v>
      </c>
      <c r="AV19" s="156">
        <f>AV6+AV9+AV12+AV13+AV14+AV17+AV18</f>
        <v>4727401918</v>
      </c>
      <c r="AW19" s="156">
        <f>AW6+AW9+AW12+AW13+AW14+AW17+AW18</f>
        <v>3663265956</v>
      </c>
      <c r="AX19" s="156">
        <f t="shared" ref="AX19:BA19" si="19">AX6+AX9+AX12+AX13+AX14+AX17+AX18</f>
        <v>0</v>
      </c>
      <c r="AY19" s="156">
        <f t="shared" si="19"/>
        <v>0</v>
      </c>
      <c r="AZ19" s="156">
        <f t="shared" si="19"/>
        <v>454471493</v>
      </c>
      <c r="BA19" s="156">
        <f t="shared" si="19"/>
        <v>1412601912.2</v>
      </c>
      <c r="BB19" s="156">
        <f>C19+T19+AK19</f>
        <v>325420737077</v>
      </c>
      <c r="BC19" s="156">
        <f>+D19+U19+AL19</f>
        <v>116038765889</v>
      </c>
      <c r="BD19" s="156">
        <f>+E19+V19+AM19</f>
        <v>0</v>
      </c>
      <c r="BE19" s="156">
        <f>+F19+W19+AN19</f>
        <v>0</v>
      </c>
      <c r="BF19" s="156">
        <f t="shared" si="0"/>
        <v>3829276397.6200027</v>
      </c>
      <c r="BG19" s="156">
        <f t="shared" si="1"/>
        <v>445288779363.62</v>
      </c>
      <c r="BH19" s="156">
        <f>H19+Y19+AP19</f>
        <v>3744288487</v>
      </c>
      <c r="BI19" s="156">
        <f>I19+Z19+AQ19</f>
        <v>33620100153</v>
      </c>
      <c r="BJ19" s="156">
        <f>J19+AA19+AR19</f>
        <v>26655079530</v>
      </c>
      <c r="BK19" s="156">
        <f t="shared" si="2"/>
        <v>55491856668</v>
      </c>
      <c r="BL19" s="156">
        <f t="shared" si="3"/>
        <v>119511324838</v>
      </c>
      <c r="BM19" s="156">
        <f>L19+AC19+AT19</f>
        <v>0</v>
      </c>
      <c r="BN19" s="156">
        <f>M19+AD19+AU19</f>
        <v>799217693</v>
      </c>
      <c r="BO19" s="156">
        <f>N19+AE19+AV19</f>
        <v>8182567341</v>
      </c>
      <c r="BP19" s="156">
        <f t="shared" si="4"/>
        <v>26074060416</v>
      </c>
      <c r="BQ19" s="156">
        <f t="shared" si="5"/>
        <v>35055845450</v>
      </c>
      <c r="BR19" s="156">
        <f>P19+AG19+AX19</f>
        <v>0</v>
      </c>
      <c r="BS19" s="156">
        <f>Q19+AH19+AY19</f>
        <v>0</v>
      </c>
      <c r="BT19" s="156">
        <f>R19+AI19+AZ19</f>
        <v>454471493</v>
      </c>
      <c r="BU19" s="156">
        <f t="shared" si="6"/>
        <v>2034969519.2</v>
      </c>
      <c r="BV19" s="156">
        <f t="shared" si="7"/>
        <v>2489441012.1999998</v>
      </c>
      <c r="BW19" s="156">
        <f>BW6+BW9+BW12+BW13+BW14+BW17+BW18</f>
        <v>325777454525.62</v>
      </c>
    </row>
    <row r="20" spans="1:75" s="357" customFormat="1" x14ac:dyDescent="0.25">
      <c r="A20" s="157"/>
      <c r="B20" s="158" t="s">
        <v>75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>
        <v>0</v>
      </c>
      <c r="Y20" s="159"/>
      <c r="Z20" s="159"/>
      <c r="AA20" s="159">
        <v>0</v>
      </c>
      <c r="AB20" s="159">
        <v>0</v>
      </c>
      <c r="AC20" s="159"/>
      <c r="AD20" s="159"/>
      <c r="AE20" s="159">
        <v>0</v>
      </c>
      <c r="AF20" s="139">
        <v>0</v>
      </c>
      <c r="AG20" s="159"/>
      <c r="AH20" s="159"/>
      <c r="AI20" s="159"/>
      <c r="AJ20" s="159"/>
      <c r="AK20" s="159"/>
      <c r="AL20" s="159"/>
      <c r="AM20" s="159"/>
      <c r="AN20" s="159"/>
      <c r="AO20" s="159">
        <v>0</v>
      </c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>
        <v>0</v>
      </c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>
        <f>M20+AD20+AU20</f>
        <v>0</v>
      </c>
      <c r="BO20" s="159">
        <f>N20+AE20+AV20</f>
        <v>0</v>
      </c>
      <c r="BP20" s="159">
        <f t="shared" si="4"/>
        <v>0</v>
      </c>
      <c r="BQ20" s="159">
        <f t="shared" si="5"/>
        <v>0</v>
      </c>
      <c r="BR20" s="159">
        <f>P20+AG20+AX20</f>
        <v>0</v>
      </c>
      <c r="BS20" s="159">
        <f>Q20+AH20+AY20</f>
        <v>0</v>
      </c>
      <c r="BT20" s="159">
        <f>R20+AI20+AZ20</f>
        <v>0</v>
      </c>
      <c r="BU20" s="159">
        <f t="shared" si="6"/>
        <v>0</v>
      </c>
      <c r="BV20" s="159">
        <f t="shared" si="7"/>
        <v>0</v>
      </c>
      <c r="BW20" s="159"/>
    </row>
    <row r="21" spans="1:75" ht="24" customHeight="1" x14ac:dyDescent="0.25">
      <c r="B21" s="274" t="s">
        <v>76</v>
      </c>
      <c r="C21" s="139">
        <v>0</v>
      </c>
      <c r="D21" s="139">
        <v>0</v>
      </c>
      <c r="E21" s="139">
        <v>0</v>
      </c>
      <c r="F21" s="139">
        <v>0</v>
      </c>
      <c r="G21" s="139">
        <v>0</v>
      </c>
      <c r="H21" s="139">
        <v>0</v>
      </c>
      <c r="I21" s="139">
        <v>0</v>
      </c>
      <c r="J21" s="139">
        <v>0</v>
      </c>
      <c r="K21" s="139">
        <v>0</v>
      </c>
      <c r="L21" s="139">
        <v>0</v>
      </c>
      <c r="M21" s="139">
        <v>0</v>
      </c>
      <c r="N21" s="139">
        <v>0</v>
      </c>
      <c r="O21" s="139">
        <v>0</v>
      </c>
      <c r="P21" s="139">
        <v>0</v>
      </c>
      <c r="Q21" s="139">
        <v>0</v>
      </c>
      <c r="R21" s="139">
        <v>0</v>
      </c>
      <c r="S21" s="139">
        <v>0</v>
      </c>
      <c r="T21" s="139">
        <v>18234322554</v>
      </c>
      <c r="U21" s="139">
        <v>0</v>
      </c>
      <c r="V21" s="139">
        <v>0</v>
      </c>
      <c r="W21" s="139">
        <v>0</v>
      </c>
      <c r="X21" s="139">
        <v>0</v>
      </c>
      <c r="Y21" s="139">
        <v>0</v>
      </c>
      <c r="Z21" s="139">
        <v>1646754692</v>
      </c>
      <c r="AA21" s="139">
        <v>1535898860</v>
      </c>
      <c r="AB21" s="139">
        <v>1528657699</v>
      </c>
      <c r="AC21" s="139">
        <v>0</v>
      </c>
      <c r="AD21" s="139">
        <v>1646754692</v>
      </c>
      <c r="AE21" s="139">
        <v>1535898860</v>
      </c>
      <c r="AF21" s="139">
        <v>1528657699</v>
      </c>
      <c r="AG21" s="139">
        <v>0</v>
      </c>
      <c r="AH21" s="139">
        <v>1605169638</v>
      </c>
      <c r="AI21" s="139">
        <v>1576093024</v>
      </c>
      <c r="AJ21" s="139">
        <v>1530048834</v>
      </c>
      <c r="AK21" s="139">
        <v>6078107518</v>
      </c>
      <c r="AL21" s="153">
        <f>6041095863-AK21</f>
        <v>-37011655</v>
      </c>
      <c r="AM21" s="153">
        <v>0</v>
      </c>
      <c r="AN21" s="153">
        <v>0</v>
      </c>
      <c r="AO21" s="153">
        <v>0</v>
      </c>
      <c r="AP21" s="153">
        <v>5247473760</v>
      </c>
      <c r="AQ21" s="153">
        <v>7015028</v>
      </c>
      <c r="AR21" s="153">
        <v>40694839</v>
      </c>
      <c r="AS21" s="153">
        <v>9962426</v>
      </c>
      <c r="AT21" s="153">
        <v>1619863872</v>
      </c>
      <c r="AU21" s="153">
        <v>7015028</v>
      </c>
      <c r="AV21" s="153">
        <v>3635804727</v>
      </c>
      <c r="AW21" s="153">
        <v>9962426</v>
      </c>
      <c r="AX21" s="153">
        <v>1618210326</v>
      </c>
      <c r="AY21" s="153">
        <v>10882778</v>
      </c>
      <c r="AZ21" s="153">
        <v>9341505</v>
      </c>
      <c r="BA21" s="153">
        <v>100831437</v>
      </c>
      <c r="BB21" s="153">
        <f>C21+T21+AK21</f>
        <v>24312430072</v>
      </c>
      <c r="BC21" s="153">
        <f>+D21+U21+AL21</f>
        <v>-37011655</v>
      </c>
      <c r="BD21" s="153">
        <f>+E21+V21+AM21</f>
        <v>0</v>
      </c>
      <c r="BE21" s="153">
        <f>+F21+W21+AN21</f>
        <v>0</v>
      </c>
      <c r="BF21" s="153">
        <f t="shared" si="0"/>
        <v>0</v>
      </c>
      <c r="BG21" s="153">
        <f t="shared" si="1"/>
        <v>24275418417</v>
      </c>
      <c r="BH21" s="153">
        <f>H21+Y21+AP21</f>
        <v>5247473760</v>
      </c>
      <c r="BI21" s="153">
        <f>I21+Z21+AQ21</f>
        <v>1653769720</v>
      </c>
      <c r="BJ21" s="153">
        <f>J21+AA21+AR21</f>
        <v>1576593699</v>
      </c>
      <c r="BK21" s="153">
        <f t="shared" si="2"/>
        <v>1538620125</v>
      </c>
      <c r="BL21" s="153">
        <f t="shared" si="3"/>
        <v>10016457304</v>
      </c>
      <c r="BM21" s="153">
        <f>L21+AC21+AT21</f>
        <v>1619863872</v>
      </c>
      <c r="BN21" s="153">
        <f>M21+AD21+AU21</f>
        <v>1653769720</v>
      </c>
      <c r="BO21" s="153">
        <f>N21+AE21+AV21</f>
        <v>5171703587</v>
      </c>
      <c r="BP21" s="153">
        <f t="shared" si="4"/>
        <v>1538620125</v>
      </c>
      <c r="BQ21" s="153">
        <f t="shared" si="5"/>
        <v>9983957304</v>
      </c>
      <c r="BR21" s="153">
        <f>P21+AG21+AX21</f>
        <v>1618210326</v>
      </c>
      <c r="BS21" s="153">
        <f>Q21+AH21+AY21</f>
        <v>1616052416</v>
      </c>
      <c r="BT21" s="153">
        <f>R21+AI21+AZ21</f>
        <v>1585434529</v>
      </c>
      <c r="BU21" s="153">
        <f t="shared" si="6"/>
        <v>1630880271</v>
      </c>
      <c r="BV21" s="153">
        <f t="shared" si="7"/>
        <v>6450577542</v>
      </c>
      <c r="BW21" s="153">
        <f>+BG21-BL21</f>
        <v>14258961113</v>
      </c>
    </row>
    <row r="22" spans="1:75" ht="24" customHeight="1" x14ac:dyDescent="0.25">
      <c r="B22" s="274" t="s">
        <v>77</v>
      </c>
      <c r="C22" s="139">
        <v>419248813</v>
      </c>
      <c r="D22" s="139">
        <v>0</v>
      </c>
      <c r="E22" s="139">
        <v>0</v>
      </c>
      <c r="F22" s="139">
        <v>0</v>
      </c>
      <c r="G22" s="139">
        <v>0</v>
      </c>
      <c r="H22" s="139">
        <v>73163775</v>
      </c>
      <c r="I22" s="139">
        <v>28834948</v>
      </c>
      <c r="J22" s="139">
        <v>28853830</v>
      </c>
      <c r="K22" s="139">
        <v>0</v>
      </c>
      <c r="L22" s="139">
        <v>73163775</v>
      </c>
      <c r="M22" s="139">
        <v>28834948</v>
      </c>
      <c r="N22" s="139">
        <v>28853830</v>
      </c>
      <c r="O22" s="139">
        <v>0</v>
      </c>
      <c r="P22" s="139">
        <v>73163775</v>
      </c>
      <c r="Q22" s="139">
        <v>28834948</v>
      </c>
      <c r="R22" s="139">
        <v>28853830</v>
      </c>
      <c r="S22" s="139">
        <v>0</v>
      </c>
      <c r="T22" s="139">
        <v>16776925676</v>
      </c>
      <c r="U22" s="139">
        <v>0</v>
      </c>
      <c r="V22" s="139">
        <v>0</v>
      </c>
      <c r="W22" s="139">
        <v>0</v>
      </c>
      <c r="X22" s="139">
        <v>0</v>
      </c>
      <c r="Y22" s="139">
        <v>849150</v>
      </c>
      <c r="Z22" s="139">
        <f>2625504271-849150</f>
        <v>2624655121</v>
      </c>
      <c r="AA22" s="139">
        <v>384782591</v>
      </c>
      <c r="AB22" s="139">
        <v>909407001.17000008</v>
      </c>
      <c r="AC22" s="139">
        <v>849150</v>
      </c>
      <c r="AD22" s="139">
        <f>453504271-AC22</f>
        <v>452655121</v>
      </c>
      <c r="AE22" s="139">
        <v>2556782591</v>
      </c>
      <c r="AF22" s="139">
        <v>36312943.929999828</v>
      </c>
      <c r="AG22" s="139">
        <v>0</v>
      </c>
      <c r="AH22" s="139">
        <v>453252871</v>
      </c>
      <c r="AI22" s="139">
        <v>565252644</v>
      </c>
      <c r="AJ22" s="139">
        <v>203973563.93000007</v>
      </c>
      <c r="AK22" s="139">
        <v>9063805864</v>
      </c>
      <c r="AL22" s="153">
        <f>9059388370-AK22</f>
        <v>-4417494</v>
      </c>
      <c r="AM22" s="153">
        <v>0</v>
      </c>
      <c r="AN22" s="153">
        <v>0</v>
      </c>
      <c r="AO22" s="153">
        <v>0</v>
      </c>
      <c r="AP22" s="153">
        <v>2731672117.7600002</v>
      </c>
      <c r="AQ22" s="153">
        <v>1042714676.8799996</v>
      </c>
      <c r="AR22" s="153">
        <v>761324498.16000032</v>
      </c>
      <c r="AS22" s="153">
        <v>299766638.47000027</v>
      </c>
      <c r="AT22" s="153">
        <v>119925840.75999999</v>
      </c>
      <c r="AU22" s="153">
        <v>432007127.08000004</v>
      </c>
      <c r="AV22" s="153">
        <v>1263278556.1600001</v>
      </c>
      <c r="AW22" s="153">
        <v>2110699976.4600003</v>
      </c>
      <c r="AX22" s="153">
        <v>95140287.75999999</v>
      </c>
      <c r="AY22" s="153">
        <v>168633067.54000002</v>
      </c>
      <c r="AZ22" s="153">
        <v>290517229.69999999</v>
      </c>
      <c r="BA22" s="153">
        <v>314762214.46999997</v>
      </c>
      <c r="BB22" s="153">
        <f>C22+T22+AK22</f>
        <v>26259980353</v>
      </c>
      <c r="BC22" s="153">
        <f>+D22+U22+AL22</f>
        <v>-4417494</v>
      </c>
      <c r="BD22" s="153">
        <f>E22+V22+AM22</f>
        <v>0</v>
      </c>
      <c r="BE22" s="153">
        <f>+F22+W22+AN22</f>
        <v>0</v>
      </c>
      <c r="BF22" s="153">
        <f t="shared" si="0"/>
        <v>0</v>
      </c>
      <c r="BG22" s="153">
        <f t="shared" si="1"/>
        <v>26255562859</v>
      </c>
      <c r="BH22" s="153">
        <f>H22+Y22+AP22</f>
        <v>2805685042.7600002</v>
      </c>
      <c r="BI22" s="153">
        <f>I22+Z22+AQ22</f>
        <v>3696204745.8799996</v>
      </c>
      <c r="BJ22" s="153">
        <f>J22+AA22+AR22</f>
        <v>1174960919.1600003</v>
      </c>
      <c r="BK22" s="153">
        <f t="shared" si="2"/>
        <v>1209173639.6400003</v>
      </c>
      <c r="BL22" s="153">
        <f t="shared" si="3"/>
        <v>8886024347.4399986</v>
      </c>
      <c r="BM22" s="153">
        <f>L22+AC22+AT22</f>
        <v>193938765.75999999</v>
      </c>
      <c r="BN22" s="153">
        <f>M22+AD22+AU22</f>
        <v>913497196.08000004</v>
      </c>
      <c r="BO22" s="153">
        <f>N22+AE22+AV22</f>
        <v>3848914977.1599998</v>
      </c>
      <c r="BP22" s="153">
        <f t="shared" si="4"/>
        <v>2147012920.3900001</v>
      </c>
      <c r="BQ22" s="153">
        <f t="shared" si="5"/>
        <v>7103363859.3900003</v>
      </c>
      <c r="BR22" s="153">
        <f>P22+AG22+AX22</f>
        <v>168304062.75999999</v>
      </c>
      <c r="BS22" s="153">
        <f>Q22+AH22+AY22</f>
        <v>650720886.53999996</v>
      </c>
      <c r="BT22" s="153">
        <f>R22+AI22+AZ22</f>
        <v>884623703.70000005</v>
      </c>
      <c r="BU22" s="153">
        <f t="shared" si="6"/>
        <v>518735778.40000004</v>
      </c>
      <c r="BV22" s="153">
        <f t="shared" si="7"/>
        <v>2222384431.4000001</v>
      </c>
      <c r="BW22" s="153">
        <f>+BG22-BL22</f>
        <v>17369538511.560001</v>
      </c>
    </row>
    <row r="23" spans="1:75" ht="24" customHeight="1" x14ac:dyDescent="0.25">
      <c r="B23" s="274" t="s">
        <v>78</v>
      </c>
      <c r="C23" s="139">
        <v>0</v>
      </c>
      <c r="D23" s="139">
        <v>0</v>
      </c>
      <c r="E23" s="139">
        <v>0</v>
      </c>
      <c r="F23" s="139">
        <v>0</v>
      </c>
      <c r="G23" s="139">
        <v>0</v>
      </c>
      <c r="H23" s="139">
        <v>0</v>
      </c>
      <c r="I23" s="139">
        <v>0</v>
      </c>
      <c r="J23" s="139">
        <v>0</v>
      </c>
      <c r="K23" s="139">
        <v>0</v>
      </c>
      <c r="L23" s="139">
        <v>0</v>
      </c>
      <c r="M23" s="139">
        <v>0</v>
      </c>
      <c r="N23" s="139">
        <v>0</v>
      </c>
      <c r="O23" s="139">
        <v>0</v>
      </c>
      <c r="P23" s="139">
        <v>0</v>
      </c>
      <c r="Q23" s="139">
        <v>0</v>
      </c>
      <c r="R23" s="139">
        <v>0</v>
      </c>
      <c r="S23" s="139">
        <v>0</v>
      </c>
      <c r="T23" s="152">
        <v>0</v>
      </c>
      <c r="U23" s="152">
        <v>0</v>
      </c>
      <c r="V23" s="152">
        <v>0</v>
      </c>
      <c r="W23" s="152">
        <v>0</v>
      </c>
      <c r="X23" s="152">
        <v>0</v>
      </c>
      <c r="Y23" s="152">
        <v>0</v>
      </c>
      <c r="Z23" s="152">
        <v>0</v>
      </c>
      <c r="AA23" s="152">
        <v>0</v>
      </c>
      <c r="AB23" s="152">
        <v>0</v>
      </c>
      <c r="AC23" s="152">
        <v>0</v>
      </c>
      <c r="AD23" s="152">
        <v>0</v>
      </c>
      <c r="AE23" s="152">
        <v>0</v>
      </c>
      <c r="AF23" s="139">
        <v>0</v>
      </c>
      <c r="AG23" s="152">
        <v>0</v>
      </c>
      <c r="AH23" s="152">
        <v>0</v>
      </c>
      <c r="AI23" s="152">
        <v>0</v>
      </c>
      <c r="AJ23" s="152">
        <v>0</v>
      </c>
      <c r="AK23" s="152">
        <v>4312859864</v>
      </c>
      <c r="AL23" s="153">
        <f>4312859864-AK23</f>
        <v>0</v>
      </c>
      <c r="AM23" s="153">
        <v>0</v>
      </c>
      <c r="AN23" s="153">
        <v>0</v>
      </c>
      <c r="AO23" s="153">
        <v>0</v>
      </c>
      <c r="AP23" s="153">
        <v>1184096000</v>
      </c>
      <c r="AQ23" s="153">
        <v>785726373</v>
      </c>
      <c r="AR23" s="153">
        <v>430875000</v>
      </c>
      <c r="AS23" s="153">
        <v>133200000</v>
      </c>
      <c r="AT23" s="153">
        <v>199400000</v>
      </c>
      <c r="AU23" s="153">
        <v>865589532</v>
      </c>
      <c r="AV23" s="153">
        <v>746618056</v>
      </c>
      <c r="AW23" s="153">
        <v>166588775</v>
      </c>
      <c r="AX23" s="153">
        <v>0</v>
      </c>
      <c r="AY23" s="153">
        <v>0</v>
      </c>
      <c r="AZ23" s="153">
        <v>18206400</v>
      </c>
      <c r="BA23" s="153">
        <v>232938112</v>
      </c>
      <c r="BB23" s="153">
        <f>C23+T23+AK23</f>
        <v>4312859864</v>
      </c>
      <c r="BC23" s="153">
        <f>+D23+U23+AL23</f>
        <v>0</v>
      </c>
      <c r="BD23" s="153">
        <f>+E23+V23+AM23</f>
        <v>0</v>
      </c>
      <c r="BE23" s="153">
        <f>+F23+W23+AN23</f>
        <v>0</v>
      </c>
      <c r="BF23" s="153">
        <f t="shared" si="0"/>
        <v>0</v>
      </c>
      <c r="BG23" s="153">
        <f t="shared" si="1"/>
        <v>4312859864</v>
      </c>
      <c r="BH23" s="153">
        <f>H23+Y23+AP23</f>
        <v>1184096000</v>
      </c>
      <c r="BI23" s="153">
        <f>I23+Z23+AQ23</f>
        <v>785726373</v>
      </c>
      <c r="BJ23" s="153">
        <f>J23+AA23+AR23</f>
        <v>430875000</v>
      </c>
      <c r="BK23" s="153">
        <f t="shared" si="2"/>
        <v>133200000</v>
      </c>
      <c r="BL23" s="153">
        <f t="shared" si="3"/>
        <v>2533897373</v>
      </c>
      <c r="BM23" s="153">
        <f>L23+AC23+AT23</f>
        <v>199400000</v>
      </c>
      <c r="BN23" s="153">
        <f>M23+AD23+AU23</f>
        <v>865589532</v>
      </c>
      <c r="BO23" s="153">
        <f>N23+AE23+AV23</f>
        <v>746618056</v>
      </c>
      <c r="BP23" s="153">
        <f t="shared" si="4"/>
        <v>166588775</v>
      </c>
      <c r="BQ23" s="153">
        <f t="shared" si="5"/>
        <v>1978196363</v>
      </c>
      <c r="BR23" s="153">
        <f>P23+AG23+AX23</f>
        <v>0</v>
      </c>
      <c r="BS23" s="153">
        <f>Q23+AH23+AY23</f>
        <v>0</v>
      </c>
      <c r="BT23" s="153">
        <f>R23+AI23+AZ23</f>
        <v>18206400</v>
      </c>
      <c r="BU23" s="153">
        <f t="shared" si="6"/>
        <v>232938112</v>
      </c>
      <c r="BV23" s="153">
        <f t="shared" si="7"/>
        <v>251144512</v>
      </c>
      <c r="BW23" s="153">
        <f>+BG23-BL23</f>
        <v>1778962491</v>
      </c>
    </row>
    <row r="24" spans="1:75" x14ac:dyDescent="0.25">
      <c r="B24" s="160" t="s">
        <v>79</v>
      </c>
      <c r="C24" s="156">
        <f>SUM(C21:C23)</f>
        <v>419248813</v>
      </c>
      <c r="D24" s="156">
        <f>SUM(D21:D23)</f>
        <v>0</v>
      </c>
      <c r="E24" s="156">
        <f>SUM(E21:E23)</f>
        <v>0</v>
      </c>
      <c r="F24" s="156">
        <f>SUM(F21:F23)</f>
        <v>0</v>
      </c>
      <c r="G24" s="156">
        <f>SUM(G21:G23)</f>
        <v>0</v>
      </c>
      <c r="H24" s="156">
        <f>SUM(H21:H23)</f>
        <v>73163775</v>
      </c>
      <c r="I24" s="156">
        <f>SUM(I21:I23)</f>
        <v>28834948</v>
      </c>
      <c r="J24" s="156">
        <f>SUM(J21:J23)</f>
        <v>28853830</v>
      </c>
      <c r="K24" s="156">
        <f>SUM(K21:K23)</f>
        <v>0</v>
      </c>
      <c r="L24" s="156">
        <f>SUM(L21:L23)</f>
        <v>73163775</v>
      </c>
      <c r="M24" s="156">
        <f>SUM(M21:M23)</f>
        <v>28834948</v>
      </c>
      <c r="N24" s="156">
        <f>SUM(N21:N23)</f>
        <v>28853830</v>
      </c>
      <c r="O24" s="156">
        <f>SUM(O21:O23)</f>
        <v>0</v>
      </c>
      <c r="P24" s="156">
        <f>SUM(P21:P23)</f>
        <v>73163775</v>
      </c>
      <c r="Q24" s="156">
        <f>SUM(Q21:Q23)</f>
        <v>28834948</v>
      </c>
      <c r="R24" s="156">
        <f>SUM(R21:R23)</f>
        <v>28853830</v>
      </c>
      <c r="S24" s="156">
        <f>SUM(S21:S23)</f>
        <v>0</v>
      </c>
      <c r="T24" s="156">
        <f>SUM(T21:T23)</f>
        <v>35011248230</v>
      </c>
      <c r="U24" s="156">
        <f>SUM(U21:U23)</f>
        <v>0</v>
      </c>
      <c r="V24" s="156">
        <f>SUM(V21:V23)</f>
        <v>0</v>
      </c>
      <c r="W24" s="156">
        <f>SUM(W21:W23)</f>
        <v>0</v>
      </c>
      <c r="X24" s="156">
        <v>0</v>
      </c>
      <c r="Y24" s="156">
        <f>SUM(Y21:Y23)</f>
        <v>849150</v>
      </c>
      <c r="Z24" s="156">
        <f t="shared" ref="Z24:AG24" si="20">SUM(Z21:Z23)</f>
        <v>4271409813</v>
      </c>
      <c r="AA24" s="156">
        <f t="shared" ref="AA24" si="21">SUM(AA21:AA23)</f>
        <v>1920681451</v>
      </c>
      <c r="AB24" s="156">
        <f t="shared" ref="AB24" si="22">SUM(AB21:AB23)</f>
        <v>2438064700.1700001</v>
      </c>
      <c r="AC24" s="156">
        <f t="shared" si="20"/>
        <v>849150</v>
      </c>
      <c r="AD24" s="156">
        <f>SUM(AD21:AD23)</f>
        <v>2099409813</v>
      </c>
      <c r="AE24" s="156">
        <f t="shared" ref="AE24:AF24" si="23">SUM(AE21:AE23)</f>
        <v>4092681451</v>
      </c>
      <c r="AF24" s="156">
        <f t="shared" si="23"/>
        <v>1564970642.9299998</v>
      </c>
      <c r="AG24" s="156">
        <f t="shared" si="20"/>
        <v>0</v>
      </c>
      <c r="AH24" s="156">
        <f>SUM(AH21:AH23)</f>
        <v>2058422509</v>
      </c>
      <c r="AI24" s="156">
        <f t="shared" ref="AI24" si="24">SUM(AI21:AI23)</f>
        <v>2141345668</v>
      </c>
      <c r="AJ24" s="156">
        <v>1734022397.9300001</v>
      </c>
      <c r="AK24" s="156">
        <f>SUM(AK21:AK23)</f>
        <v>19454773246</v>
      </c>
      <c r="AL24" s="156">
        <f>SUM(AL21:AL23)</f>
        <v>-41429149</v>
      </c>
      <c r="AM24" s="156">
        <f>SUM(AM21:AM23)</f>
        <v>0</v>
      </c>
      <c r="AN24" s="156">
        <f>SUM(AN21:AN23)</f>
        <v>0</v>
      </c>
      <c r="AO24" s="156">
        <f>SUM(AO21:AO23)</f>
        <v>0</v>
      </c>
      <c r="AP24" s="156">
        <f>SUM(AP21:AP23)</f>
        <v>9163241877.7600002</v>
      </c>
      <c r="AQ24" s="156">
        <f>SUM(AQ21:AQ23)</f>
        <v>1835456077.8799996</v>
      </c>
      <c r="AR24" s="156">
        <f t="shared" ref="AR24:AS24" si="25">SUM(AR21:AR23)</f>
        <v>1232894337.1600003</v>
      </c>
      <c r="AS24" s="156">
        <f t="shared" si="25"/>
        <v>442929064.47000027</v>
      </c>
      <c r="AT24" s="156">
        <f>SUM(AT21:AT23)</f>
        <v>1939189712.76</v>
      </c>
      <c r="AU24" s="156">
        <f>SUM(AU21:AU23)</f>
        <v>1304611687.0799999</v>
      </c>
      <c r="AV24" s="156">
        <f>SUM(AV21:AV23)</f>
        <v>5645701339.1599998</v>
      </c>
      <c r="AW24" s="156">
        <f>SUM(AW21:AW23)</f>
        <v>2287251177.46</v>
      </c>
      <c r="AX24" s="156">
        <f t="shared" ref="AX24:BA24" si="26">SUM(AX21:AX23)</f>
        <v>1713350613.76</v>
      </c>
      <c r="AY24" s="156">
        <f t="shared" si="26"/>
        <v>179515845.54000002</v>
      </c>
      <c r="AZ24" s="156">
        <f t="shared" si="26"/>
        <v>318065134.69999999</v>
      </c>
      <c r="BA24" s="156">
        <f t="shared" si="26"/>
        <v>648531763.47000003</v>
      </c>
      <c r="BB24" s="156">
        <f>C24+T24+AK24</f>
        <v>54885270289</v>
      </c>
      <c r="BC24" s="156">
        <f>+D24+U24+AL24</f>
        <v>-41429149</v>
      </c>
      <c r="BD24" s="156">
        <f>+E24+V24+AM24</f>
        <v>0</v>
      </c>
      <c r="BE24" s="156">
        <f>+F24+W24+AN24</f>
        <v>0</v>
      </c>
      <c r="BF24" s="156">
        <f t="shared" si="0"/>
        <v>0</v>
      </c>
      <c r="BG24" s="156">
        <f t="shared" si="1"/>
        <v>54843841140</v>
      </c>
      <c r="BH24" s="156">
        <f>H24+Y24+AP24</f>
        <v>9237254802.7600002</v>
      </c>
      <c r="BI24" s="156">
        <f>I24+Z24+AQ24</f>
        <v>6135700838.8799992</v>
      </c>
      <c r="BJ24" s="156">
        <f>J24+AA24+AR24</f>
        <v>3182429618.1600003</v>
      </c>
      <c r="BK24" s="156">
        <f t="shared" si="2"/>
        <v>2880993764.6400003</v>
      </c>
      <c r="BL24" s="156">
        <f t="shared" si="3"/>
        <v>21436379024.439999</v>
      </c>
      <c r="BM24" s="156">
        <f>L24+AC24+AT24</f>
        <v>2013202637.76</v>
      </c>
      <c r="BN24" s="156">
        <f>M24+AD24+AU24</f>
        <v>3432856448.0799999</v>
      </c>
      <c r="BO24" s="156">
        <f>N24+AE24+AV24</f>
        <v>9767236620.1599998</v>
      </c>
      <c r="BP24" s="156">
        <f t="shared" si="4"/>
        <v>3852221820.3899999</v>
      </c>
      <c r="BQ24" s="156">
        <f t="shared" si="5"/>
        <v>19065517526.389999</v>
      </c>
      <c r="BR24" s="156">
        <f>P24+AG24+AX24</f>
        <v>1786514388.76</v>
      </c>
      <c r="BS24" s="156">
        <f>Q24+AH24+AY24</f>
        <v>2266773302.54</v>
      </c>
      <c r="BT24" s="156">
        <f>R24+AI24+AZ24</f>
        <v>2488264632.6999998</v>
      </c>
      <c r="BU24" s="156">
        <f t="shared" si="6"/>
        <v>2382554161.4000001</v>
      </c>
      <c r="BV24" s="156">
        <f t="shared" si="7"/>
        <v>8924106485.3999996</v>
      </c>
      <c r="BW24" s="156">
        <f>SUM(BW21:BW23)</f>
        <v>33407462115.560001</v>
      </c>
    </row>
    <row r="25" spans="1:75" x14ac:dyDescent="0.25">
      <c r="B25" s="158" t="s">
        <v>30</v>
      </c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>
        <v>0</v>
      </c>
      <c r="Y25" s="163"/>
      <c r="Z25" s="163"/>
      <c r="AA25" s="163">
        <v>0</v>
      </c>
      <c r="AB25" s="163">
        <v>0</v>
      </c>
      <c r="AC25" s="163"/>
      <c r="AD25" s="161"/>
      <c r="AE25" s="161"/>
      <c r="AF25" s="139"/>
      <c r="AG25" s="163"/>
      <c r="AH25" s="161"/>
      <c r="AI25" s="161"/>
      <c r="AJ25" s="161"/>
      <c r="AK25" s="161"/>
      <c r="AL25" s="163"/>
      <c r="AM25" s="162"/>
      <c r="AN25" s="162"/>
      <c r="AO25" s="162">
        <v>0</v>
      </c>
      <c r="AP25" s="163"/>
      <c r="AQ25" s="162"/>
      <c r="AR25" s="162">
        <v>0</v>
      </c>
      <c r="AS25" s="162">
        <v>0</v>
      </c>
      <c r="AT25" s="163"/>
      <c r="AU25" s="162"/>
      <c r="AV25" s="162">
        <v>0</v>
      </c>
      <c r="AW25" s="162">
        <v>0</v>
      </c>
      <c r="AX25" s="163"/>
      <c r="AY25" s="163"/>
      <c r="AZ25" s="163"/>
      <c r="BA25" s="163">
        <v>0</v>
      </c>
      <c r="BB25" s="163">
        <f>C25+T25+AK25</f>
        <v>0</v>
      </c>
      <c r="BC25" s="163">
        <f>+D25+U25+AL25</f>
        <v>0</v>
      </c>
      <c r="BD25" s="163">
        <f>+E25+V25+AM25</f>
        <v>0</v>
      </c>
      <c r="BE25" s="163">
        <f>+F25+W25+AN25</f>
        <v>0</v>
      </c>
      <c r="BF25" s="163">
        <f t="shared" si="0"/>
        <v>0</v>
      </c>
      <c r="BG25" s="163">
        <f t="shared" si="1"/>
        <v>0</v>
      </c>
      <c r="BH25" s="163">
        <f>H25+Y25+AP25</f>
        <v>0</v>
      </c>
      <c r="BI25" s="163">
        <f>I25+Z25+AQ25</f>
        <v>0</v>
      </c>
      <c r="BJ25" s="163">
        <f>J25+AA25+AR25</f>
        <v>0</v>
      </c>
      <c r="BK25" s="163">
        <f t="shared" si="2"/>
        <v>0</v>
      </c>
      <c r="BL25" s="163">
        <f t="shared" si="3"/>
        <v>0</v>
      </c>
      <c r="BM25" s="272">
        <f>L25+AC25+AT25</f>
        <v>0</v>
      </c>
      <c r="BN25" s="272">
        <f>M25+AD25+AU25</f>
        <v>0</v>
      </c>
      <c r="BO25" s="272">
        <f>N25+AE25+AV25</f>
        <v>0</v>
      </c>
      <c r="BP25" s="272">
        <f t="shared" si="4"/>
        <v>0</v>
      </c>
      <c r="BQ25" s="272">
        <f t="shared" si="5"/>
        <v>0</v>
      </c>
      <c r="BR25" s="272">
        <f>P25+AG25+AX25</f>
        <v>0</v>
      </c>
      <c r="BS25" s="272">
        <f>Q25+AH25+AY25</f>
        <v>0</v>
      </c>
      <c r="BT25" s="272">
        <f>R25+AI25+AZ25</f>
        <v>0</v>
      </c>
      <c r="BU25" s="272">
        <f t="shared" si="6"/>
        <v>0</v>
      </c>
      <c r="BV25" s="272">
        <f t="shared" si="7"/>
        <v>0</v>
      </c>
      <c r="BW25" s="272"/>
    </row>
    <row r="26" spans="1:75" x14ac:dyDescent="0.25">
      <c r="B26" s="274" t="s">
        <v>80</v>
      </c>
      <c r="C26" s="153">
        <v>0</v>
      </c>
      <c r="D26" s="153">
        <v>0</v>
      </c>
      <c r="E26" s="153">
        <v>0</v>
      </c>
      <c r="F26" s="153">
        <v>0</v>
      </c>
      <c r="G26" s="153">
        <v>0</v>
      </c>
      <c r="H26" s="153">
        <v>0</v>
      </c>
      <c r="I26" s="153">
        <v>0</v>
      </c>
      <c r="J26" s="153">
        <v>0</v>
      </c>
      <c r="K26" s="153">
        <v>0</v>
      </c>
      <c r="L26" s="153">
        <v>0</v>
      </c>
      <c r="M26" s="153">
        <v>0</v>
      </c>
      <c r="N26" s="153">
        <v>0</v>
      </c>
      <c r="O26" s="153">
        <v>0</v>
      </c>
      <c r="P26" s="153">
        <v>0</v>
      </c>
      <c r="Q26" s="153">
        <v>0</v>
      </c>
      <c r="R26" s="153">
        <v>0</v>
      </c>
      <c r="S26" s="153">
        <v>0</v>
      </c>
      <c r="T26" s="139">
        <v>342247248</v>
      </c>
      <c r="U26" s="139">
        <v>0</v>
      </c>
      <c r="V26" s="139">
        <v>0</v>
      </c>
      <c r="W26" s="139">
        <v>0</v>
      </c>
      <c r="X26" s="139">
        <v>0</v>
      </c>
      <c r="Y26" s="139">
        <v>0</v>
      </c>
      <c r="Z26" s="139">
        <v>0</v>
      </c>
      <c r="AA26" s="139">
        <v>0</v>
      </c>
      <c r="AB26" s="139">
        <v>0</v>
      </c>
      <c r="AC26" s="139">
        <v>0</v>
      </c>
      <c r="AD26" s="139">
        <v>0</v>
      </c>
      <c r="AE26" s="139">
        <v>0</v>
      </c>
      <c r="AF26" s="139">
        <v>0</v>
      </c>
      <c r="AG26" s="139">
        <v>0</v>
      </c>
      <c r="AH26" s="139">
        <v>0</v>
      </c>
      <c r="AI26" s="139">
        <v>0</v>
      </c>
      <c r="AJ26" s="139">
        <v>0</v>
      </c>
      <c r="AK26" s="139">
        <v>0</v>
      </c>
      <c r="AL26" s="153">
        <v>0</v>
      </c>
      <c r="AM26" s="153">
        <v>0</v>
      </c>
      <c r="AN26" s="153">
        <v>0</v>
      </c>
      <c r="AO26" s="153">
        <v>0</v>
      </c>
      <c r="AP26" s="153">
        <v>0</v>
      </c>
      <c r="AQ26" s="153">
        <v>0</v>
      </c>
      <c r="AR26" s="153">
        <v>0</v>
      </c>
      <c r="AS26" s="153">
        <v>0</v>
      </c>
      <c r="AT26" s="153">
        <v>0</v>
      </c>
      <c r="AU26" s="153">
        <v>0</v>
      </c>
      <c r="AV26" s="153">
        <v>0</v>
      </c>
      <c r="AW26" s="153">
        <v>0</v>
      </c>
      <c r="AX26" s="153">
        <v>0</v>
      </c>
      <c r="AY26" s="153">
        <v>0</v>
      </c>
      <c r="AZ26" s="153">
        <v>0</v>
      </c>
      <c r="BA26" s="153">
        <v>0</v>
      </c>
      <c r="BB26" s="153">
        <f>C26+T26+AK26</f>
        <v>342247248</v>
      </c>
      <c r="BC26" s="153">
        <f>+D26+U26+AL26</f>
        <v>0</v>
      </c>
      <c r="BD26" s="153">
        <f>+E26+V26+AM26</f>
        <v>0</v>
      </c>
      <c r="BE26" s="153">
        <f>+F26+W26+AN26</f>
        <v>0</v>
      </c>
      <c r="BF26" s="153">
        <f t="shared" si="0"/>
        <v>0</v>
      </c>
      <c r="BG26" s="153">
        <f t="shared" si="1"/>
        <v>342247248</v>
      </c>
      <c r="BH26" s="153">
        <f>H26+Y26+AP26</f>
        <v>0</v>
      </c>
      <c r="BI26" s="153">
        <f>I26+Z26+AQ26</f>
        <v>0</v>
      </c>
      <c r="BJ26" s="153">
        <f>J26+AA26+AR26</f>
        <v>0</v>
      </c>
      <c r="BK26" s="153">
        <f t="shared" si="2"/>
        <v>0</v>
      </c>
      <c r="BL26" s="153">
        <f t="shared" si="3"/>
        <v>0</v>
      </c>
      <c r="BM26" s="153">
        <f>L26+AC26+AT26</f>
        <v>0</v>
      </c>
      <c r="BN26" s="153">
        <f>M26+AD26+AU26</f>
        <v>0</v>
      </c>
      <c r="BO26" s="153">
        <f>N26+AE26+AV26</f>
        <v>0</v>
      </c>
      <c r="BP26" s="153">
        <f t="shared" si="4"/>
        <v>0</v>
      </c>
      <c r="BQ26" s="153">
        <f t="shared" si="5"/>
        <v>0</v>
      </c>
      <c r="BR26" s="153">
        <f>P26+AG26+AX26</f>
        <v>0</v>
      </c>
      <c r="BS26" s="153">
        <f>Q26+AH26+AY26</f>
        <v>0</v>
      </c>
      <c r="BT26" s="153">
        <f>R26+AI26+AZ26</f>
        <v>0</v>
      </c>
      <c r="BU26" s="153">
        <f t="shared" si="6"/>
        <v>0</v>
      </c>
      <c r="BV26" s="153">
        <f t="shared" si="7"/>
        <v>0</v>
      </c>
      <c r="BW26" s="153">
        <f>+BG26-BL26</f>
        <v>342247248</v>
      </c>
    </row>
    <row r="27" spans="1:75" x14ac:dyDescent="0.25">
      <c r="B27" s="274" t="s">
        <v>72</v>
      </c>
      <c r="C27" s="153">
        <v>0</v>
      </c>
      <c r="D27" s="153">
        <v>0</v>
      </c>
      <c r="E27" s="153">
        <v>0</v>
      </c>
      <c r="F27" s="153">
        <v>0</v>
      </c>
      <c r="G27" s="153">
        <v>0</v>
      </c>
      <c r="H27" s="153">
        <v>0</v>
      </c>
      <c r="I27" s="153">
        <v>0</v>
      </c>
      <c r="J27" s="153">
        <v>0</v>
      </c>
      <c r="K27" s="153">
        <v>0</v>
      </c>
      <c r="L27" s="153">
        <v>0</v>
      </c>
      <c r="M27" s="153">
        <v>0</v>
      </c>
      <c r="N27" s="153">
        <v>0</v>
      </c>
      <c r="O27" s="153">
        <v>0</v>
      </c>
      <c r="P27" s="153">
        <v>0</v>
      </c>
      <c r="Q27" s="153">
        <v>0</v>
      </c>
      <c r="R27" s="153">
        <v>0</v>
      </c>
      <c r="S27" s="153">
        <v>0</v>
      </c>
      <c r="T27" s="139">
        <v>3600000000</v>
      </c>
      <c r="U27" s="139">
        <f>7745298270-T27</f>
        <v>4145298270</v>
      </c>
      <c r="V27" s="139">
        <v>0</v>
      </c>
      <c r="W27" s="139">
        <v>0</v>
      </c>
      <c r="X27" s="139">
        <v>158058</v>
      </c>
      <c r="Y27" s="139">
        <v>0</v>
      </c>
      <c r="Z27" s="139">
        <v>0</v>
      </c>
      <c r="AA27" s="139">
        <v>0</v>
      </c>
      <c r="AB27" s="139">
        <v>0</v>
      </c>
      <c r="AC27" s="139">
        <v>0</v>
      </c>
      <c r="AD27" s="139">
        <v>0</v>
      </c>
      <c r="AE27" s="139">
        <v>0</v>
      </c>
      <c r="AF27" s="139">
        <v>0</v>
      </c>
      <c r="AG27" s="139">
        <v>0</v>
      </c>
      <c r="AH27" s="139">
        <v>0</v>
      </c>
      <c r="AI27" s="139">
        <v>0</v>
      </c>
      <c r="AJ27" s="139">
        <v>0</v>
      </c>
      <c r="AK27" s="139">
        <v>0</v>
      </c>
      <c r="AL27" s="153">
        <v>0</v>
      </c>
      <c r="AM27" s="153">
        <v>0</v>
      </c>
      <c r="AN27" s="153">
        <v>0</v>
      </c>
      <c r="AO27" s="153">
        <v>0</v>
      </c>
      <c r="AP27" s="153">
        <v>0</v>
      </c>
      <c r="AQ27" s="153">
        <v>0</v>
      </c>
      <c r="AR27" s="153">
        <v>0</v>
      </c>
      <c r="AS27" s="153">
        <v>0</v>
      </c>
      <c r="AT27" s="153">
        <v>0</v>
      </c>
      <c r="AU27" s="153">
        <v>0</v>
      </c>
      <c r="AV27" s="153">
        <v>0</v>
      </c>
      <c r="AW27" s="153">
        <v>0</v>
      </c>
      <c r="AX27" s="153">
        <v>0</v>
      </c>
      <c r="AY27" s="153">
        <v>0</v>
      </c>
      <c r="AZ27" s="153">
        <v>0</v>
      </c>
      <c r="BA27" s="153">
        <v>0</v>
      </c>
      <c r="BB27" s="153">
        <f>C27+T27+AK27</f>
        <v>3600000000</v>
      </c>
      <c r="BC27" s="153">
        <f>+D27+U27+AL27</f>
        <v>4145298270</v>
      </c>
      <c r="BD27" s="153">
        <f>+E27+V27+AM27</f>
        <v>0</v>
      </c>
      <c r="BE27" s="153">
        <f>+F27+W27+AN27</f>
        <v>0</v>
      </c>
      <c r="BF27" s="153">
        <f t="shared" si="0"/>
        <v>158058</v>
      </c>
      <c r="BG27" s="153">
        <f t="shared" si="1"/>
        <v>7745456328</v>
      </c>
      <c r="BH27" s="153">
        <f>H27+Y27+AP27</f>
        <v>0</v>
      </c>
      <c r="BI27" s="153">
        <f>I27+Z27+AQ27</f>
        <v>0</v>
      </c>
      <c r="BJ27" s="153">
        <f>J27+AA27+AR27</f>
        <v>0</v>
      </c>
      <c r="BK27" s="153">
        <f t="shared" si="2"/>
        <v>0</v>
      </c>
      <c r="BL27" s="153">
        <f t="shared" si="3"/>
        <v>0</v>
      </c>
      <c r="BM27" s="153">
        <f>L27+AC27+AT27</f>
        <v>0</v>
      </c>
      <c r="BN27" s="153">
        <f>M27+AD27+AU27</f>
        <v>0</v>
      </c>
      <c r="BO27" s="153">
        <f>N27+AE27+AV27</f>
        <v>0</v>
      </c>
      <c r="BP27" s="153">
        <f t="shared" si="4"/>
        <v>0</v>
      </c>
      <c r="BQ27" s="153">
        <f t="shared" si="5"/>
        <v>0</v>
      </c>
      <c r="BR27" s="153">
        <f>P27+AG27+AX27</f>
        <v>0</v>
      </c>
      <c r="BS27" s="153">
        <f>Q27+AH27+AY27</f>
        <v>0</v>
      </c>
      <c r="BT27" s="153">
        <f>R27+AI27+AZ27</f>
        <v>0</v>
      </c>
      <c r="BU27" s="153">
        <f t="shared" si="6"/>
        <v>0</v>
      </c>
      <c r="BV27" s="153">
        <f t="shared" si="7"/>
        <v>0</v>
      </c>
      <c r="BW27" s="153">
        <f>+BG27-BL27</f>
        <v>7745456328</v>
      </c>
    </row>
    <row r="28" spans="1:75" ht="31.5" customHeight="1" x14ac:dyDescent="0.25">
      <c r="B28" s="155" t="s">
        <v>30</v>
      </c>
      <c r="C28" s="156">
        <f>SUM(C26:C27)</f>
        <v>0</v>
      </c>
      <c r="D28" s="156">
        <f>SUM(D26:D27)</f>
        <v>0</v>
      </c>
      <c r="E28" s="156">
        <f>SUM(E26:E27)</f>
        <v>0</v>
      </c>
      <c r="F28" s="156">
        <f>SUM(F26:F27)</f>
        <v>0</v>
      </c>
      <c r="G28" s="156">
        <f>SUM(G26:G27)</f>
        <v>0</v>
      </c>
      <c r="H28" s="156">
        <f>SUM(H26:H27)</f>
        <v>0</v>
      </c>
      <c r="I28" s="156">
        <f>SUM(I26:I27)</f>
        <v>0</v>
      </c>
      <c r="J28" s="156">
        <f>SUM(J26:J27)</f>
        <v>0</v>
      </c>
      <c r="K28" s="156">
        <f>SUM(K26:K27)</f>
        <v>0</v>
      </c>
      <c r="L28" s="156">
        <f>SUM(L26:L27)</f>
        <v>0</v>
      </c>
      <c r="M28" s="156">
        <f>SUM(M26:M27)</f>
        <v>0</v>
      </c>
      <c r="N28" s="156">
        <f>SUM(N26:N27)</f>
        <v>0</v>
      </c>
      <c r="O28" s="156">
        <f>SUM(O26:O27)</f>
        <v>0</v>
      </c>
      <c r="P28" s="156">
        <f>SUM(P26:P27)</f>
        <v>0</v>
      </c>
      <c r="Q28" s="156">
        <f>SUM(Q26:Q27)</f>
        <v>0</v>
      </c>
      <c r="R28" s="156">
        <f>SUM(R26:R27)</f>
        <v>0</v>
      </c>
      <c r="S28" s="156">
        <f>SUM(S26:S27)</f>
        <v>0</v>
      </c>
      <c r="T28" s="156">
        <v>3942247248</v>
      </c>
      <c r="U28" s="156">
        <f>SUM(U26:U27)</f>
        <v>4145298270</v>
      </c>
      <c r="V28" s="156">
        <f>SUM(V26:V27)</f>
        <v>0</v>
      </c>
      <c r="W28" s="156">
        <f>SUM(W26:W27)</f>
        <v>0</v>
      </c>
      <c r="X28" s="156">
        <v>158058</v>
      </c>
      <c r="Y28" s="156">
        <f>SUM(Y26:Y27)</f>
        <v>0</v>
      </c>
      <c r="Z28" s="156">
        <f t="shared" ref="Z28" si="27">SUM(Z26:Z27)</f>
        <v>0</v>
      </c>
      <c r="AA28" s="156">
        <f t="shared" ref="AA28" si="28">SUM(AA26:AA27)</f>
        <v>0</v>
      </c>
      <c r="AB28" s="156">
        <f t="shared" ref="AB28" si="29">SUM(AB26:AB27)</f>
        <v>0</v>
      </c>
      <c r="AC28" s="156">
        <f>SUM(AC26:AC27)</f>
        <v>0</v>
      </c>
      <c r="AD28" s="156">
        <f>SUM(AD26:AD27)</f>
        <v>0</v>
      </c>
      <c r="AE28" s="156">
        <f t="shared" ref="AE28:AF28" si="30">SUM(AE26:AE27)</f>
        <v>0</v>
      </c>
      <c r="AF28" s="156">
        <f t="shared" si="30"/>
        <v>0</v>
      </c>
      <c r="AG28" s="156">
        <f>SUM(AG26:AG27)</f>
        <v>0</v>
      </c>
      <c r="AH28" s="156">
        <f>SUM(AH26:AH27)</f>
        <v>0</v>
      </c>
      <c r="AI28" s="156">
        <f t="shared" ref="AI28:AJ28" si="31">SUM(AI26:AI27)</f>
        <v>0</v>
      </c>
      <c r="AJ28" s="156">
        <f t="shared" si="31"/>
        <v>0</v>
      </c>
      <c r="AK28" s="156">
        <f>SUM(AK26:AK27)</f>
        <v>0</v>
      </c>
      <c r="AL28" s="156">
        <f>SUM(AL26:AL27)</f>
        <v>0</v>
      </c>
      <c r="AM28" s="156">
        <f>SUM(AM26:AM27)</f>
        <v>0</v>
      </c>
      <c r="AN28" s="156">
        <f>SUM(AN26:AN27)</f>
        <v>0</v>
      </c>
      <c r="AO28" s="156">
        <f>SUM(AO26:AO27)</f>
        <v>0</v>
      </c>
      <c r="AP28" s="156">
        <f>SUM(AP26:AP27)</f>
        <v>0</v>
      </c>
      <c r="AQ28" s="156">
        <f>SUM(AQ26:AQ27)</f>
        <v>0</v>
      </c>
      <c r="AR28" s="156">
        <v>0</v>
      </c>
      <c r="AS28" s="156">
        <v>0</v>
      </c>
      <c r="AT28" s="156">
        <f>SUM(AT26:AT27)</f>
        <v>0</v>
      </c>
      <c r="AU28" s="156">
        <f>SUM(AU26:AU27)</f>
        <v>0</v>
      </c>
      <c r="AV28" s="156">
        <f t="shared" ref="AV28:AW28" si="32">SUM(AV26:AV27)</f>
        <v>0</v>
      </c>
      <c r="AW28" s="156">
        <f t="shared" si="32"/>
        <v>0</v>
      </c>
      <c r="AX28" s="156">
        <f t="shared" ref="AX28" si="33">SUM(AX26:AX27)</f>
        <v>0</v>
      </c>
      <c r="AY28" s="156">
        <f t="shared" ref="AY28" si="34">SUM(AY26:AY27)</f>
        <v>0</v>
      </c>
      <c r="AZ28" s="156">
        <f t="shared" ref="AZ28" si="35">SUM(AZ26:AZ27)</f>
        <v>0</v>
      </c>
      <c r="BA28" s="156">
        <f t="shared" ref="BA28" si="36">SUM(BA26:BA27)</f>
        <v>0</v>
      </c>
      <c r="BB28" s="156">
        <f>C28+T28+AK28</f>
        <v>3942247248</v>
      </c>
      <c r="BC28" s="156">
        <f>+D28+U28+AL28</f>
        <v>4145298270</v>
      </c>
      <c r="BD28" s="156">
        <f>+E28+V28+AM28</f>
        <v>0</v>
      </c>
      <c r="BE28" s="156">
        <f>+F28+W28+AN28</f>
        <v>0</v>
      </c>
      <c r="BF28" s="156">
        <f t="shared" si="0"/>
        <v>158058</v>
      </c>
      <c r="BG28" s="156">
        <f t="shared" si="1"/>
        <v>8087703576</v>
      </c>
      <c r="BH28" s="156">
        <f>H28+Y28+AP28</f>
        <v>0</v>
      </c>
      <c r="BI28" s="156">
        <f>I28+Z28+AQ28</f>
        <v>0</v>
      </c>
      <c r="BJ28" s="156">
        <f>J28+AA28+AR28</f>
        <v>0</v>
      </c>
      <c r="BK28" s="156">
        <f t="shared" si="2"/>
        <v>0</v>
      </c>
      <c r="BL28" s="156">
        <f t="shared" si="3"/>
        <v>0</v>
      </c>
      <c r="BM28" s="156">
        <f>L28+AC28+AT28</f>
        <v>0</v>
      </c>
      <c r="BN28" s="156">
        <f>M28+AD28+AU28</f>
        <v>0</v>
      </c>
      <c r="BO28" s="156">
        <f>N28+AE28+AV28</f>
        <v>0</v>
      </c>
      <c r="BP28" s="156">
        <f t="shared" si="4"/>
        <v>0</v>
      </c>
      <c r="BQ28" s="156">
        <f t="shared" si="5"/>
        <v>0</v>
      </c>
      <c r="BR28" s="156">
        <f>P28+AG28+AX28</f>
        <v>0</v>
      </c>
      <c r="BS28" s="156">
        <f>Q28+AH28+AY28</f>
        <v>0</v>
      </c>
      <c r="BT28" s="156">
        <f>R28+AI28+AZ28</f>
        <v>0</v>
      </c>
      <c r="BU28" s="156">
        <f t="shared" si="6"/>
        <v>0</v>
      </c>
      <c r="BV28" s="156">
        <f t="shared" si="7"/>
        <v>0</v>
      </c>
      <c r="BW28" s="156">
        <f>SUM(BW26:BW27)</f>
        <v>8087703576</v>
      </c>
    </row>
    <row r="29" spans="1:75" ht="12" customHeight="1" x14ac:dyDescent="0.25">
      <c r="B29" s="164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>
        <v>0</v>
      </c>
      <c r="Y29" s="161"/>
      <c r="Z29" s="161"/>
      <c r="AA29" s="161"/>
      <c r="AB29" s="161"/>
      <c r="AC29" s="161"/>
      <c r="AD29" s="161"/>
      <c r="AE29" s="161"/>
      <c r="AF29" s="139"/>
      <c r="AG29" s="161"/>
      <c r="AH29" s="161"/>
      <c r="AI29" s="161"/>
      <c r="AJ29" s="161"/>
      <c r="AK29" s="161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M29" s="161">
        <f>L29+AC29+AT29</f>
        <v>0</v>
      </c>
      <c r="BN29" s="161">
        <f>M29+AD29+AU29</f>
        <v>0</v>
      </c>
      <c r="BO29" s="161">
        <f>N29+AE29+AV29</f>
        <v>0</v>
      </c>
      <c r="BP29" s="161">
        <f t="shared" si="4"/>
        <v>0</v>
      </c>
      <c r="BQ29" s="161">
        <f t="shared" si="5"/>
        <v>0</v>
      </c>
      <c r="BR29" s="161"/>
      <c r="BS29" s="161"/>
      <c r="BT29" s="161">
        <f>R29+AI29+AZ29</f>
        <v>0</v>
      </c>
      <c r="BU29" s="161">
        <f t="shared" si="6"/>
        <v>0</v>
      </c>
      <c r="BV29" s="161">
        <f t="shared" si="7"/>
        <v>0</v>
      </c>
      <c r="BW29" s="161"/>
    </row>
    <row r="30" spans="1:75" ht="26.25" customHeight="1" x14ac:dyDescent="0.25">
      <c r="B30" s="155" t="s">
        <v>81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/>
      <c r="M30" s="156"/>
      <c r="N30" s="156">
        <v>0</v>
      </c>
      <c r="O30" s="156">
        <v>0</v>
      </c>
      <c r="P30" s="156"/>
      <c r="Q30" s="156"/>
      <c r="R30" s="156">
        <v>0</v>
      </c>
      <c r="S30" s="156">
        <v>0</v>
      </c>
      <c r="T30" s="156">
        <v>0</v>
      </c>
      <c r="U30" s="156">
        <v>2591986313</v>
      </c>
      <c r="V30" s="156">
        <v>0</v>
      </c>
      <c r="W30" s="156">
        <v>0</v>
      </c>
      <c r="X30" s="156">
        <v>0</v>
      </c>
      <c r="Y30" s="156">
        <v>0</v>
      </c>
      <c r="Z30" s="156">
        <v>0</v>
      </c>
      <c r="AA30" s="156">
        <v>0</v>
      </c>
      <c r="AB30" s="156">
        <v>0</v>
      </c>
      <c r="AC30" s="156">
        <v>0</v>
      </c>
      <c r="AD30" s="156">
        <v>0</v>
      </c>
      <c r="AE30" s="156">
        <v>0</v>
      </c>
      <c r="AF30" s="156">
        <v>0</v>
      </c>
      <c r="AG30" s="156">
        <f>SUM(AG28:AG29)</f>
        <v>0</v>
      </c>
      <c r="AH30" s="156">
        <f>SUM(AH28:AH29)</f>
        <v>0</v>
      </c>
      <c r="AI30" s="156">
        <f t="shared" ref="AI30:AJ30" si="37">SUM(AI28:AI29)</f>
        <v>0</v>
      </c>
      <c r="AJ30" s="156">
        <f t="shared" si="37"/>
        <v>0</v>
      </c>
      <c r="AK30" s="156">
        <v>0</v>
      </c>
      <c r="AL30" s="156">
        <v>7986628093</v>
      </c>
      <c r="AM30" s="156">
        <v>0</v>
      </c>
      <c r="AN30" s="156">
        <v>0</v>
      </c>
      <c r="AO30" s="156">
        <v>0</v>
      </c>
      <c r="AP30" s="156">
        <v>0</v>
      </c>
      <c r="AQ30" s="156">
        <v>0</v>
      </c>
      <c r="AR30" s="156">
        <v>0</v>
      </c>
      <c r="AS30" s="156">
        <v>0</v>
      </c>
      <c r="AT30" s="156">
        <v>0</v>
      </c>
      <c r="AU30" s="156">
        <v>0</v>
      </c>
      <c r="AV30" s="156">
        <v>0</v>
      </c>
      <c r="AW30" s="156">
        <v>0</v>
      </c>
      <c r="AX30" s="156">
        <v>0</v>
      </c>
      <c r="AY30" s="156">
        <v>0</v>
      </c>
      <c r="AZ30" s="156">
        <v>0</v>
      </c>
      <c r="BA30" s="156">
        <v>0</v>
      </c>
      <c r="BB30" s="156">
        <f>C30+T30+AK30</f>
        <v>0</v>
      </c>
      <c r="BC30" s="156">
        <f>+D30+U30+AL30</f>
        <v>10578614406</v>
      </c>
      <c r="BD30" s="156">
        <f>+E30+V30+AM30</f>
        <v>0</v>
      </c>
      <c r="BE30" s="156">
        <f>+F30+W30+AN30</f>
        <v>0</v>
      </c>
      <c r="BF30" s="156">
        <f t="shared" si="0"/>
        <v>0</v>
      </c>
      <c r="BG30" s="156">
        <f t="shared" si="1"/>
        <v>10578614406</v>
      </c>
      <c r="BH30" s="156">
        <f>H30+Y30+AP30</f>
        <v>0</v>
      </c>
      <c r="BI30" s="156">
        <f>I30+Z30+AQ30</f>
        <v>0</v>
      </c>
      <c r="BJ30" s="156">
        <f>J30+AA30+AR30</f>
        <v>0</v>
      </c>
      <c r="BK30" s="156">
        <f t="shared" si="2"/>
        <v>0</v>
      </c>
      <c r="BL30" s="156">
        <f t="shared" si="3"/>
        <v>0</v>
      </c>
      <c r="BM30" s="156">
        <f>L30+AC30+AT30</f>
        <v>0</v>
      </c>
      <c r="BN30" s="156">
        <f>M30+AD30+AU30</f>
        <v>0</v>
      </c>
      <c r="BO30" s="156">
        <f>N30+AE30+AV30</f>
        <v>0</v>
      </c>
      <c r="BP30" s="156">
        <f t="shared" si="4"/>
        <v>0</v>
      </c>
      <c r="BQ30" s="156">
        <f t="shared" si="5"/>
        <v>0</v>
      </c>
      <c r="BR30" s="156">
        <f>P30+AG30+AX30</f>
        <v>0</v>
      </c>
      <c r="BS30" s="156">
        <f>Q30+AH30+AY30</f>
        <v>0</v>
      </c>
      <c r="BT30" s="156">
        <f>R30+AI30+AZ30</f>
        <v>0</v>
      </c>
      <c r="BU30" s="156">
        <f t="shared" si="6"/>
        <v>0</v>
      </c>
      <c r="BV30" s="156">
        <f t="shared" si="7"/>
        <v>0</v>
      </c>
      <c r="BW30" s="156">
        <f>BG30-BL30</f>
        <v>10578614406</v>
      </c>
    </row>
    <row r="31" spans="1:75" x14ac:dyDescent="0.25">
      <c r="B31" s="164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39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161"/>
      <c r="AS31" s="161"/>
      <c r="AT31" s="161"/>
      <c r="AU31" s="161"/>
      <c r="AV31" s="161"/>
      <c r="AW31" s="161"/>
      <c r="AX31" s="161"/>
      <c r="AY31" s="161"/>
      <c r="AZ31" s="161"/>
      <c r="BA31" s="161"/>
      <c r="BB31" s="161"/>
      <c r="BC31" s="161"/>
      <c r="BD31" s="161"/>
      <c r="BE31" s="161"/>
      <c r="BF31" s="161"/>
      <c r="BG31" s="161"/>
      <c r="BH31" s="139"/>
      <c r="BI31" s="139"/>
      <c r="BJ31" s="139"/>
      <c r="BK31" s="139"/>
      <c r="BL31" s="161"/>
      <c r="BM31" s="161"/>
      <c r="BN31" s="161"/>
      <c r="BO31" s="161"/>
      <c r="BP31" s="161"/>
      <c r="BQ31" s="161"/>
      <c r="BR31" s="161"/>
      <c r="BS31" s="153"/>
      <c r="BT31" s="161"/>
      <c r="BU31" s="161"/>
      <c r="BV31" s="161"/>
      <c r="BW31" s="161"/>
    </row>
    <row r="32" spans="1:75" s="358" customFormat="1" ht="33" customHeight="1" x14ac:dyDescent="0.25">
      <c r="A32" s="147"/>
      <c r="B32" s="212" t="s">
        <v>184</v>
      </c>
      <c r="C32" s="285">
        <f t="shared" ref="C32:S32" si="38">+C28+C30+C24+C19</f>
        <v>419248813</v>
      </c>
      <c r="D32" s="285">
        <f t="shared" si="38"/>
        <v>0</v>
      </c>
      <c r="E32" s="285">
        <f t="shared" si="38"/>
        <v>0</v>
      </c>
      <c r="F32" s="285">
        <f t="shared" si="38"/>
        <v>0</v>
      </c>
      <c r="G32" s="285">
        <f t="shared" ref="G32" si="39">+G28+G30+G24+G19</f>
        <v>0</v>
      </c>
      <c r="H32" s="285">
        <f t="shared" si="38"/>
        <v>73163775</v>
      </c>
      <c r="I32" s="285">
        <f t="shared" si="38"/>
        <v>28834948</v>
      </c>
      <c r="J32" s="285">
        <f t="shared" si="38"/>
        <v>28853830</v>
      </c>
      <c r="K32" s="285">
        <f t="shared" si="38"/>
        <v>0</v>
      </c>
      <c r="L32" s="285">
        <f t="shared" si="38"/>
        <v>73163775</v>
      </c>
      <c r="M32" s="285">
        <f t="shared" si="38"/>
        <v>28834948</v>
      </c>
      <c r="N32" s="285">
        <f t="shared" si="38"/>
        <v>28853830</v>
      </c>
      <c r="O32" s="285">
        <f t="shared" si="38"/>
        <v>0</v>
      </c>
      <c r="P32" s="285">
        <f t="shared" si="38"/>
        <v>73163775</v>
      </c>
      <c r="Q32" s="285">
        <f t="shared" si="38"/>
        <v>28834948</v>
      </c>
      <c r="R32" s="285">
        <f t="shared" si="38"/>
        <v>28853830</v>
      </c>
      <c r="S32" s="285">
        <f t="shared" si="38"/>
        <v>0</v>
      </c>
      <c r="T32" s="285">
        <f t="shared" ref="T32:V32" si="40">+T28+T30+T24+T19</f>
        <v>214636927251</v>
      </c>
      <c r="U32" s="285">
        <f t="shared" si="40"/>
        <v>69102676784</v>
      </c>
      <c r="V32" s="285">
        <f t="shared" si="40"/>
        <v>0</v>
      </c>
      <c r="W32" s="285">
        <f t="shared" ref="W32" si="41">+W28+W30+W24+W19</f>
        <v>0</v>
      </c>
      <c r="X32" s="285">
        <v>3172569735</v>
      </c>
      <c r="Y32" s="285">
        <f>+Y28+Y30+Y24+Y19</f>
        <v>849150</v>
      </c>
      <c r="Z32" s="285">
        <f t="shared" ref="Z32:AJ32" si="42">+Z28+Z30+Z24+Z19</f>
        <v>27244140836</v>
      </c>
      <c r="AA32" s="285">
        <f t="shared" si="42"/>
        <v>28230850970</v>
      </c>
      <c r="AB32" s="285">
        <f t="shared" si="42"/>
        <v>52484420564.169998</v>
      </c>
      <c r="AC32" s="285">
        <f t="shared" si="42"/>
        <v>849150</v>
      </c>
      <c r="AD32" s="285">
        <f t="shared" si="42"/>
        <v>2099409813</v>
      </c>
      <c r="AE32" s="285">
        <f t="shared" si="42"/>
        <v>7547846874</v>
      </c>
      <c r="AF32" s="285">
        <f t="shared" si="42"/>
        <v>23975765102.93</v>
      </c>
      <c r="AG32" s="285">
        <f t="shared" si="42"/>
        <v>0</v>
      </c>
      <c r="AH32" s="285">
        <f t="shared" si="42"/>
        <v>2058422509</v>
      </c>
      <c r="AI32" s="285">
        <f t="shared" si="42"/>
        <v>2141345668</v>
      </c>
      <c r="AJ32" s="285">
        <f t="shared" si="42"/>
        <v>2356390004.9300003</v>
      </c>
      <c r="AK32" s="284">
        <f>+AK28+AK30+AK24+AK19</f>
        <v>169192078550</v>
      </c>
      <c r="AL32" s="284">
        <f t="shared" ref="AL32:BK32" si="43">+AL28+AL30+AL24+AL19</f>
        <v>61618572632</v>
      </c>
      <c r="AM32" s="284">
        <f t="shared" si="43"/>
        <v>0</v>
      </c>
      <c r="AN32" s="284">
        <f t="shared" si="43"/>
        <v>0</v>
      </c>
      <c r="AO32" s="284">
        <f t="shared" si="43"/>
        <v>656864720.62000275</v>
      </c>
      <c r="AP32" s="284">
        <f t="shared" si="43"/>
        <v>12907530364.76</v>
      </c>
      <c r="AQ32" s="284">
        <f t="shared" si="43"/>
        <v>12482825207.879999</v>
      </c>
      <c r="AR32" s="284">
        <f t="shared" si="43"/>
        <v>1577804348.1600003</v>
      </c>
      <c r="AS32" s="284">
        <f t="shared" si="43"/>
        <v>5888429868.4700003</v>
      </c>
      <c r="AT32" s="284">
        <f t="shared" si="43"/>
        <v>1939189712.76</v>
      </c>
      <c r="AU32" s="284">
        <f t="shared" si="43"/>
        <v>2103829380.0799999</v>
      </c>
      <c r="AV32" s="284">
        <f t="shared" si="43"/>
        <v>10373103257.16</v>
      </c>
      <c r="AW32" s="284">
        <f t="shared" si="43"/>
        <v>5950517133.46</v>
      </c>
      <c r="AX32" s="284">
        <f t="shared" si="43"/>
        <v>1713350613.76</v>
      </c>
      <c r="AY32" s="284">
        <f t="shared" si="43"/>
        <v>179515845.54000002</v>
      </c>
      <c r="AZ32" s="284">
        <f t="shared" si="43"/>
        <v>772536627.70000005</v>
      </c>
      <c r="BA32" s="284">
        <f t="shared" si="43"/>
        <v>2061133675.6700001</v>
      </c>
      <c r="BB32" s="336">
        <f t="shared" si="43"/>
        <v>384248254614</v>
      </c>
      <c r="BC32" s="336">
        <f t="shared" si="43"/>
        <v>130721249416</v>
      </c>
      <c r="BD32" s="336">
        <f t="shared" si="43"/>
        <v>0</v>
      </c>
      <c r="BE32" s="336">
        <f t="shared" si="43"/>
        <v>0</v>
      </c>
      <c r="BF32" s="336">
        <f t="shared" si="43"/>
        <v>3829434455.6200027</v>
      </c>
      <c r="BG32" s="273">
        <f t="shared" si="43"/>
        <v>518798938485.62</v>
      </c>
      <c r="BH32" s="336">
        <f t="shared" si="43"/>
        <v>12981543289.76</v>
      </c>
      <c r="BI32" s="336">
        <f t="shared" si="43"/>
        <v>39755800991.879997</v>
      </c>
      <c r="BJ32" s="336">
        <f t="shared" si="43"/>
        <v>29837509148.16</v>
      </c>
      <c r="BK32" s="336">
        <f t="shared" si="43"/>
        <v>58372850432.639999</v>
      </c>
      <c r="BL32" s="359">
        <f>+BL28+BL30+BL24+BL19</f>
        <v>140947703862.44</v>
      </c>
      <c r="BM32" s="336">
        <f t="shared" ref="BM32:BQ32" si="44">+BM28+BM30+BM24+BM19</f>
        <v>2013202637.76</v>
      </c>
      <c r="BN32" s="336">
        <f t="shared" si="44"/>
        <v>4232074141.0799999</v>
      </c>
      <c r="BO32" s="336">
        <f t="shared" si="44"/>
        <v>17949803961.16</v>
      </c>
      <c r="BP32" s="336">
        <f t="shared" si="44"/>
        <v>29926282236.389999</v>
      </c>
      <c r="BQ32" s="359">
        <f t="shared" si="44"/>
        <v>54121362976.389999</v>
      </c>
      <c r="BR32" s="336">
        <f t="shared" ref="BR32:BW32" si="45">+BR28+BR30+BR24+BR19</f>
        <v>1786514388.76</v>
      </c>
      <c r="BS32" s="336">
        <f t="shared" si="45"/>
        <v>2266773302.54</v>
      </c>
      <c r="BT32" s="336">
        <f t="shared" si="45"/>
        <v>2942736125.6999998</v>
      </c>
      <c r="BU32" s="336">
        <f t="shared" si="45"/>
        <v>4417523680.6000004</v>
      </c>
      <c r="BV32" s="359">
        <f t="shared" si="45"/>
        <v>11413547497.599998</v>
      </c>
      <c r="BW32" s="359">
        <f t="shared" si="45"/>
        <v>377851234623.17999</v>
      </c>
    </row>
    <row r="33" spans="2:75" x14ac:dyDescent="0.25">
      <c r="T33" s="166">
        <f>+T32-'[1]Modificaciones PPTO 2024'!$E$57</f>
        <v>0</v>
      </c>
      <c r="Z33" s="166"/>
      <c r="AA33" s="166"/>
      <c r="AB33" s="166"/>
    </row>
    <row r="34" spans="2:75" x14ac:dyDescent="0.25">
      <c r="E34" s="361">
        <f>+C32+D32+E32-'[3]PPTO FONTUR 28-02-2024 EGRESOS '!$C$34</f>
        <v>0</v>
      </c>
      <c r="F34" s="361">
        <f>+C32+D32+E32+F32-'[4]PPTO FONTUR 31-03-2024 EGRESOS '!$C$34</f>
        <v>0</v>
      </c>
      <c r="G34" s="361">
        <f>+C32+D32+E32+F32+G32-'[5]PPTO FONTUR 30-04-2024 EGRESOS '!$C$34</f>
        <v>0</v>
      </c>
      <c r="I34" s="166">
        <f>+H32+I32-'[3]PPTO FONTUR 28-02-2024 EGRESOS '!$G$34</f>
        <v>0</v>
      </c>
      <c r="K34" s="166">
        <f>+H32+I32+J32+K32-'[5]PPTO FONTUR 30-04-2024 EGRESOS '!$E$34</f>
        <v>0</v>
      </c>
      <c r="L34" s="166">
        <f>+L32-'[2]PPTO FONTUR 31-01-2024 EGRESOS '!$G$28</f>
        <v>0</v>
      </c>
      <c r="M34" s="166">
        <f>+L32+M32-'[3]PPTO FONTUR 28-02-2024 EGRESOS '!$G$34</f>
        <v>0</v>
      </c>
      <c r="N34" s="166">
        <f>+M32+N32+L32-'[4]PPTO FONTUR 31-03-2024 EGRESOS '!$E$34</f>
        <v>0</v>
      </c>
      <c r="O34" s="166">
        <f>+L32+M32+N32+O32-'[5]PPTO FONTUR 30-04-2024 EGRESOS '!$G$34</f>
        <v>0</v>
      </c>
      <c r="P34" s="166">
        <f>+P32-'[2]PPTO FONTUR 31-01-2024 EGRESOS '!$I$28</f>
        <v>0</v>
      </c>
      <c r="Q34" s="166">
        <f>+P32+Q32-'[3]PPTO FONTUR 28-02-2024 EGRESOS '!$I$34</f>
        <v>0</v>
      </c>
      <c r="R34" s="166">
        <f>+P32+Q32+R32-'[4]PPTO FONTUR 31-03-2024 EGRESOS '!$G$34</f>
        <v>0</v>
      </c>
      <c r="S34" s="166">
        <f>+P32+Q32+R32+S32-'[5]PPTO FONTUR 30-04-2024 EGRESOS '!$I$34</f>
        <v>0</v>
      </c>
      <c r="U34" s="154">
        <f>+'[2]PPTO FONTUR 31-01-2024 EGRESOS '!$L$28-T32-U32</f>
        <v>0</v>
      </c>
      <c r="W34" s="154">
        <f>+T32+U32+V32+W32-'[4]PPTO FONTUR 31-03-2024 EGRESOS '!$L$34</f>
        <v>0</v>
      </c>
      <c r="X34" s="154">
        <f>+T32+U32+V32+W32+X32-'[5]PPTO FONTUR 30-04-2024 EGRESOS '!$L$34</f>
        <v>0</v>
      </c>
      <c r="Y34" s="154">
        <f>+Y32-'[2]PPTO FONTUR 31-01-2024 EGRESOS '!$N$28</f>
        <v>0</v>
      </c>
      <c r="Z34" s="166">
        <f>+Y32+Z32-'[3]PPTO FONTUR 28-02-2024 EGRESOS '!$N$34</f>
        <v>0</v>
      </c>
      <c r="AA34" s="154">
        <f>+Y32+Z32+AA32-'[4]PPTO FONTUR 31-03-2024 EGRESOS '!$N$34</f>
        <v>0</v>
      </c>
      <c r="AB34" s="166">
        <f>+Y32+Z32+AA32+AB32-'[5]PPTO FONTUR 30-04-2024 EGRESOS '!$N$34</f>
        <v>0</v>
      </c>
      <c r="AC34" s="154">
        <f>+AC32-'[2]PPTO FONTUR 31-01-2024 EGRESOS '!$P$28</f>
        <v>0</v>
      </c>
      <c r="AD34" s="154">
        <f>+AC32+AD32-'[3]PPTO FONTUR 28-02-2024 EGRESOS '!$P$34</f>
        <v>0</v>
      </c>
      <c r="AE34" s="154">
        <f>+AC32+AD32+AE32-'[4]PPTO FONTUR 31-03-2024 EGRESOS '!$P$34</f>
        <v>0</v>
      </c>
      <c r="AF34" s="154">
        <f>+AC32+AD32+AE32+AF32-'[5]PPTO FONTUR 30-04-2024 EGRESOS '!$P$34</f>
        <v>0</v>
      </c>
      <c r="AG34" s="154">
        <f>+AG32-'[2]PPTO FONTUR 31-01-2024 EGRESOS '!$R$28</f>
        <v>0</v>
      </c>
      <c r="AH34" s="154">
        <f>+AG32+AH32-'[3]PPTO FONTUR 28-02-2024 EGRESOS '!$R$34</f>
        <v>0</v>
      </c>
      <c r="AI34" s="154">
        <f>+AG32+AH32+AI32-'[4]PPTO FONTUR 31-03-2024 EGRESOS '!$R$24</f>
        <v>0</v>
      </c>
      <c r="AJ34" s="154">
        <f>+AG32+AH32+AI32+AJ32-'[5]PPTO FONTUR 30-04-2024 EGRESOS '!$R$34</f>
        <v>0</v>
      </c>
      <c r="AL34" s="167">
        <f>+AK32+AL32</f>
        <v>230810651182</v>
      </c>
      <c r="AM34" s="167">
        <f>+AK32+AL32+AM32-'[3]PPTO FONTUR 28-02-2024 EGRESOS '!$U$34</f>
        <v>0</v>
      </c>
      <c r="AN34" s="167">
        <f>+AK32+AL32+AM32+AN32-'[4]PPTO FONTUR 31-03-2024 EGRESOS '!$U$34</f>
        <v>0</v>
      </c>
      <c r="AO34" s="167">
        <f>+AK32+AL32+AM32+AN32+AO32-'[5]PPTO FONTUR 30-04-2024 EGRESOS '!$U$34</f>
        <v>0</v>
      </c>
      <c r="AP34" s="168">
        <f>+AP32-'[2]PPTO FONTUR 31-01-2024 EGRESOS '!$W$28</f>
        <v>0</v>
      </c>
      <c r="AQ34" s="168">
        <f>+AP32+AQ32-'[3]PPTO FONTUR 28-02-2024 EGRESOS '!$W$34</f>
        <v>0</v>
      </c>
      <c r="AR34" s="168">
        <f>+AP32+AQ32+AR32-'[4]PPTO FONTUR 31-03-2024 EGRESOS '!$W$34</f>
        <v>0</v>
      </c>
      <c r="AS34" s="168">
        <f>+AP32+AQ32+AR32+AS32-'[5]PPTO FONTUR 30-04-2024 EGRESOS '!$W$34</f>
        <v>0</v>
      </c>
      <c r="AT34" s="154">
        <f>+AT32-'[2]PPTO FONTUR 31-01-2024 EGRESOS '!$Y$28</f>
        <v>0</v>
      </c>
      <c r="AU34" s="154">
        <f>+AT32+AU32-'[3]PPTO FONTUR 28-02-2024 EGRESOS '!$Y$34</f>
        <v>0</v>
      </c>
      <c r="AV34" s="154">
        <f>+AT32+AU32+AV32-'[4]PPTO FONTUR 31-03-2024 EGRESOS '!$Y$34</f>
        <v>0</v>
      </c>
      <c r="AW34" s="154">
        <f>+AT32+AU32+AV32+AW32-'[5]PPTO FONTUR 30-04-2024 EGRESOS '!$Y$34</f>
        <v>0</v>
      </c>
      <c r="AX34" s="168">
        <f>+AX32-'[2]PPTO FONTUR 31-01-2024 EGRESOS '!$AA$28</f>
        <v>0</v>
      </c>
      <c r="AY34" s="168">
        <f>+AX32+AY32-'[3]PPTO FONTUR 28-02-2024 EGRESOS '!$AA$34</f>
        <v>0</v>
      </c>
      <c r="AZ34" s="168">
        <f>+AX32+AY32+AZ32-'[4]PPTO FONTUR 31-03-2024 EGRESOS '!$AA$34</f>
        <v>0</v>
      </c>
      <c r="BA34" s="168">
        <f>+AX32+AY32+AZ32+BA32-'[5]PPTO FONTUR 30-04-2024 EGRESOS '!$AA$34</f>
        <v>0</v>
      </c>
    </row>
    <row r="36" spans="2:75" ht="56.25" x14ac:dyDescent="0.25">
      <c r="B36" s="365" t="s">
        <v>188</v>
      </c>
      <c r="C36" s="366"/>
      <c r="D36" s="366"/>
      <c r="E36" s="366"/>
      <c r="F36" s="366"/>
      <c r="G36" s="366"/>
      <c r="H36" s="367"/>
      <c r="I36" s="367"/>
      <c r="J36" s="367"/>
      <c r="K36" s="367"/>
      <c r="L36" s="367"/>
      <c r="M36" s="367"/>
      <c r="N36" s="367"/>
      <c r="O36" s="367"/>
      <c r="P36" s="367"/>
      <c r="Q36" s="367"/>
      <c r="R36" s="367"/>
      <c r="S36" s="367"/>
      <c r="T36" s="367"/>
      <c r="U36" s="368"/>
      <c r="V36" s="368"/>
      <c r="W36" s="368"/>
      <c r="X36" s="368"/>
      <c r="Y36" s="368"/>
      <c r="Z36" s="368"/>
      <c r="AA36" s="368"/>
      <c r="AB36" s="368"/>
      <c r="AC36" s="368"/>
      <c r="AD36" s="368"/>
      <c r="AE36" s="368"/>
      <c r="AF36" s="368"/>
      <c r="AG36" s="368"/>
      <c r="AH36" s="368"/>
      <c r="AI36" s="368"/>
      <c r="AJ36" s="368"/>
      <c r="AK36" s="368"/>
      <c r="AL36" s="369"/>
      <c r="AM36" s="369"/>
      <c r="AN36" s="369"/>
      <c r="AO36" s="369"/>
      <c r="AP36" s="370"/>
      <c r="AQ36" s="370"/>
      <c r="AR36" s="370"/>
      <c r="AS36" s="370"/>
      <c r="AT36" s="368"/>
      <c r="AU36" s="368"/>
      <c r="AV36" s="368"/>
      <c r="AW36" s="368"/>
      <c r="AX36" s="370"/>
      <c r="AY36" s="370"/>
      <c r="AZ36" s="370"/>
      <c r="BA36" s="370"/>
      <c r="BB36" s="370"/>
      <c r="BC36" s="370"/>
      <c r="BD36" s="370"/>
      <c r="BE36" s="370"/>
      <c r="BF36" s="370"/>
      <c r="BG36" s="377" t="s">
        <v>35</v>
      </c>
      <c r="BH36" s="367"/>
      <c r="BI36" s="367"/>
      <c r="BJ36" s="367"/>
      <c r="BK36" s="367"/>
      <c r="BL36" s="378" t="s">
        <v>245</v>
      </c>
      <c r="BM36" s="369"/>
      <c r="BN36" s="369"/>
      <c r="BO36" s="369"/>
      <c r="BP36" s="369"/>
      <c r="BQ36" s="378" t="s">
        <v>250</v>
      </c>
      <c r="BR36" s="369"/>
      <c r="BS36" s="369"/>
      <c r="BT36" s="369"/>
      <c r="BU36" s="369"/>
      <c r="BV36" s="379" t="s">
        <v>63</v>
      </c>
      <c r="BW36" s="380" t="s">
        <v>293</v>
      </c>
    </row>
    <row r="37" spans="2:75" x14ac:dyDescent="0.25">
      <c r="B37" s="165" t="s">
        <v>186</v>
      </c>
      <c r="BG37" s="166">
        <f>BG24+BG26+BG30</f>
        <v>65764702794</v>
      </c>
      <c r="BL37" s="166">
        <f>BL24+BL26+BL30</f>
        <v>21436379024.439999</v>
      </c>
      <c r="BM37" s="166"/>
      <c r="BN37" s="166"/>
      <c r="BO37" s="166"/>
      <c r="BP37" s="166"/>
      <c r="BQ37" s="166">
        <f>BQ24+BQ26+BQ30</f>
        <v>19065517526.389999</v>
      </c>
      <c r="BR37" s="166"/>
      <c r="BS37" s="166"/>
      <c r="BT37" s="166"/>
      <c r="BU37" s="166"/>
      <c r="BV37" s="166">
        <f>BV24+BV26+BV30</f>
        <v>8924106485.3999996</v>
      </c>
      <c r="BW37" s="166">
        <f>BW24+BW26+BW30</f>
        <v>44328323769.559998</v>
      </c>
    </row>
    <row r="38" spans="2:75" x14ac:dyDescent="0.25">
      <c r="B38" s="165" t="s">
        <v>187</v>
      </c>
      <c r="BG38" s="166">
        <f>BG19+BG27</f>
        <v>453034235691.62</v>
      </c>
      <c r="BL38" s="166">
        <f>BL19+BL27</f>
        <v>119511324838</v>
      </c>
      <c r="BM38" s="166"/>
      <c r="BN38" s="166"/>
      <c r="BO38" s="166"/>
      <c r="BP38" s="166"/>
      <c r="BQ38" s="166">
        <f>BQ19+BQ27</f>
        <v>35055845450</v>
      </c>
      <c r="BR38" s="166"/>
      <c r="BS38" s="166"/>
      <c r="BT38" s="166"/>
      <c r="BU38" s="166"/>
      <c r="BV38" s="166">
        <f>BV19+BV27</f>
        <v>2489441012.1999998</v>
      </c>
      <c r="BW38" s="166">
        <f>BW19+BW27</f>
        <v>333522910853.62</v>
      </c>
    </row>
    <row r="39" spans="2:75" x14ac:dyDescent="0.25">
      <c r="B39" s="371" t="s">
        <v>31</v>
      </c>
      <c r="C39" s="371"/>
      <c r="D39" s="371"/>
      <c r="E39" s="371"/>
      <c r="F39" s="371"/>
      <c r="G39" s="371"/>
      <c r="H39" s="372"/>
      <c r="I39" s="372"/>
      <c r="J39" s="372"/>
      <c r="K39" s="372"/>
      <c r="L39" s="372"/>
      <c r="M39" s="372"/>
      <c r="N39" s="372"/>
      <c r="O39" s="372"/>
      <c r="P39" s="372"/>
      <c r="Q39" s="372"/>
      <c r="R39" s="372"/>
      <c r="S39" s="372"/>
      <c r="T39" s="372"/>
      <c r="U39" s="373"/>
      <c r="V39" s="373"/>
      <c r="W39" s="373"/>
      <c r="X39" s="373"/>
      <c r="Y39" s="373"/>
      <c r="Z39" s="373"/>
      <c r="AA39" s="373"/>
      <c r="AB39" s="373"/>
      <c r="AC39" s="373"/>
      <c r="AD39" s="373"/>
      <c r="AE39" s="373"/>
      <c r="AF39" s="373"/>
      <c r="AG39" s="373"/>
      <c r="AH39" s="373"/>
      <c r="AI39" s="373"/>
      <c r="AJ39" s="373"/>
      <c r="AK39" s="373"/>
      <c r="AL39" s="374"/>
      <c r="AM39" s="374"/>
      <c r="AN39" s="374"/>
      <c r="AO39" s="374"/>
      <c r="AP39" s="375"/>
      <c r="AQ39" s="375"/>
      <c r="AR39" s="375"/>
      <c r="AS39" s="375"/>
      <c r="AT39" s="373"/>
      <c r="AU39" s="373"/>
      <c r="AV39" s="373"/>
      <c r="AW39" s="373"/>
      <c r="AX39" s="375"/>
      <c r="AY39" s="375"/>
      <c r="AZ39" s="375"/>
      <c r="BA39" s="375"/>
      <c r="BB39" s="375"/>
      <c r="BC39" s="375"/>
      <c r="BD39" s="375"/>
      <c r="BE39" s="375"/>
      <c r="BF39" s="375"/>
      <c r="BG39" s="376">
        <f>BG37+BG38</f>
        <v>518798938485.62</v>
      </c>
      <c r="BH39" s="376"/>
      <c r="BI39" s="376"/>
      <c r="BJ39" s="376"/>
      <c r="BK39" s="376"/>
      <c r="BL39" s="376">
        <f>BL37+BL38</f>
        <v>140947703862.44</v>
      </c>
      <c r="BM39" s="376"/>
      <c r="BN39" s="376"/>
      <c r="BO39" s="376"/>
      <c r="BP39" s="376"/>
      <c r="BQ39" s="376">
        <f>BQ37+BQ38</f>
        <v>54121362976.389999</v>
      </c>
      <c r="BR39" s="376"/>
      <c r="BS39" s="376"/>
      <c r="BT39" s="376"/>
      <c r="BU39" s="376"/>
      <c r="BV39" s="376">
        <f>BV37+BV38</f>
        <v>11413547497.599998</v>
      </c>
      <c r="BW39" s="376">
        <f>BW37+BW38</f>
        <v>377851234623.17999</v>
      </c>
    </row>
  </sheetData>
  <autoFilter ref="A4:BW28" xr:uid="{00000000-0001-0000-0200-000000000000}"/>
  <mergeCells count="2">
    <mergeCell ref="B2:BW2"/>
    <mergeCell ref="C3:S3"/>
  </mergeCells>
  <printOptions horizontalCentered="1"/>
  <pageMargins left="0.11811023622047245" right="0.11811023622047245" top="0.74803149606299213" bottom="0.74803149606299213" header="0.31496062992125984" footer="0.31496062992125984"/>
  <pageSetup scale="35" orientation="landscape" r:id="rId1"/>
  <ignoredErrors>
    <ignoredError sqref="BQ31 Y28 AT24 L31 AT28 L24 AT31 AC20:AC23 BL37:BL38 BL39 AG28 AC28 L25:L28 BQ37:BQ38 BQ39 BW9 BW12:BW14 BW17:BW18 BC22:BD22" formula="1"/>
    <ignoredError sqref="BG35 BG31:BG33 BG37:BG39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F9977-A745-4D0B-8C4E-EA834C4BAC7A}">
  <dimension ref="A1:XFD247"/>
  <sheetViews>
    <sheetView showGridLines="0" topLeftCell="B1" zoomScaleNormal="100" workbookViewId="0">
      <pane ySplit="2" topLeftCell="A13" activePane="bottomLeft" state="frozen"/>
      <selection activeCell="D20" sqref="D20"/>
      <selection pane="bottomLeft" activeCell="D20" sqref="D20"/>
    </sheetView>
  </sheetViews>
  <sheetFormatPr baseColWidth="10" defaultColWidth="11.42578125" defaultRowHeight="15" x14ac:dyDescent="0.3"/>
  <cols>
    <col min="1" max="1" width="22.140625" style="169" bestFit="1" customWidth="1"/>
    <col min="2" max="2" width="72.140625" style="179" bestFit="1" customWidth="1"/>
    <col min="3" max="3" width="23.28515625" style="186" bestFit="1" customWidth="1"/>
    <col min="4" max="4" width="27.42578125" style="180" bestFit="1" customWidth="1"/>
    <col min="5" max="5" width="13.28515625" style="187" bestFit="1" customWidth="1"/>
    <col min="6" max="6" width="23.28515625" style="180" bestFit="1" customWidth="1"/>
    <col min="7" max="7" width="19.85546875" style="189" bestFit="1" customWidth="1"/>
    <col min="8" max="8" width="19.28515625" style="181" bestFit="1" customWidth="1"/>
    <col min="9" max="9" width="17.42578125" style="171" customWidth="1"/>
    <col min="10" max="10" width="12.85546875" style="169" bestFit="1" customWidth="1"/>
    <col min="11" max="11" width="13.7109375" style="169" bestFit="1" customWidth="1"/>
    <col min="12" max="13" width="12.28515625" style="169" customWidth="1"/>
    <col min="14" max="16" width="11.42578125" style="169"/>
    <col min="17" max="17" width="16.42578125" style="169" bestFit="1" customWidth="1"/>
    <col min="18" max="16384" width="11.42578125" style="169"/>
  </cols>
  <sheetData>
    <row r="1" spans="1:11" ht="48" customHeight="1" x14ac:dyDescent="0.25">
      <c r="B1" s="313" t="s">
        <v>132</v>
      </c>
      <c r="C1" s="314"/>
      <c r="D1" s="315"/>
      <c r="E1" s="315"/>
      <c r="F1" s="316"/>
      <c r="G1" s="188"/>
      <c r="H1" s="170"/>
    </row>
    <row r="2" spans="1:11" ht="45" customHeight="1" x14ac:dyDescent="0.25">
      <c r="A2" s="257" t="s">
        <v>106</v>
      </c>
      <c r="B2" s="172" t="s">
        <v>114</v>
      </c>
      <c r="C2" s="172" t="s">
        <v>107</v>
      </c>
      <c r="D2" s="173" t="s">
        <v>65</v>
      </c>
      <c r="E2" s="183" t="s">
        <v>108</v>
      </c>
      <c r="F2" s="173" t="s">
        <v>115</v>
      </c>
      <c r="G2" s="177" t="s">
        <v>109</v>
      </c>
      <c r="H2" s="184" t="s">
        <v>110</v>
      </c>
    </row>
    <row r="3" spans="1:11" ht="34.5" customHeight="1" x14ac:dyDescent="0.25">
      <c r="A3" s="258"/>
      <c r="B3" s="259" t="s">
        <v>133</v>
      </c>
      <c r="C3" s="260" t="s">
        <v>113</v>
      </c>
      <c r="D3" s="275">
        <v>1964803733</v>
      </c>
      <c r="E3" s="261" t="s">
        <v>2</v>
      </c>
      <c r="F3" s="275">
        <v>0</v>
      </c>
      <c r="G3" s="275">
        <v>0</v>
      </c>
      <c r="H3" s="275">
        <v>0</v>
      </c>
      <c r="I3" s="174"/>
      <c r="K3" s="175"/>
    </row>
    <row r="4" spans="1:11" ht="34.5" customHeight="1" x14ac:dyDescent="0.25">
      <c r="A4" s="258"/>
      <c r="B4" s="259" t="s">
        <v>134</v>
      </c>
      <c r="C4" s="260" t="s">
        <v>113</v>
      </c>
      <c r="D4" s="275">
        <v>634250661</v>
      </c>
      <c r="E4" s="261" t="s">
        <v>2</v>
      </c>
      <c r="F4" s="275">
        <v>0</v>
      </c>
      <c r="G4" s="275">
        <v>0</v>
      </c>
      <c r="H4" s="275">
        <v>0</v>
      </c>
      <c r="I4" s="174"/>
      <c r="K4" s="175"/>
    </row>
    <row r="5" spans="1:11" ht="34.5" customHeight="1" x14ac:dyDescent="0.25">
      <c r="A5" s="258"/>
      <c r="B5" s="259" t="s">
        <v>135</v>
      </c>
      <c r="C5" s="260" t="s">
        <v>113</v>
      </c>
      <c r="D5" s="275">
        <v>64676700</v>
      </c>
      <c r="E5" s="261" t="s">
        <v>2</v>
      </c>
      <c r="F5" s="275">
        <v>0</v>
      </c>
      <c r="G5" s="275">
        <v>0</v>
      </c>
      <c r="H5" s="275">
        <v>0</v>
      </c>
      <c r="I5" s="174"/>
      <c r="K5" s="175"/>
    </row>
    <row r="6" spans="1:11" ht="34.5" customHeight="1" x14ac:dyDescent="0.25">
      <c r="A6" s="258"/>
      <c r="B6" s="259" t="s">
        <v>136</v>
      </c>
      <c r="C6" s="260" t="s">
        <v>113</v>
      </c>
      <c r="D6" s="275">
        <v>281339700</v>
      </c>
      <c r="E6" s="261" t="s">
        <v>2</v>
      </c>
      <c r="F6" s="275">
        <v>0</v>
      </c>
      <c r="G6" s="275">
        <v>0</v>
      </c>
      <c r="H6" s="275">
        <v>0</v>
      </c>
      <c r="I6" s="174"/>
      <c r="K6" s="175"/>
    </row>
    <row r="7" spans="1:11" ht="34.5" customHeight="1" x14ac:dyDescent="0.25">
      <c r="A7" s="258"/>
      <c r="B7" s="259" t="s">
        <v>137</v>
      </c>
      <c r="C7" s="260" t="s">
        <v>113</v>
      </c>
      <c r="D7" s="275">
        <v>411188425</v>
      </c>
      <c r="E7" s="261" t="s">
        <v>2</v>
      </c>
      <c r="F7" s="275">
        <v>0</v>
      </c>
      <c r="G7" s="275">
        <v>0</v>
      </c>
      <c r="H7" s="275">
        <v>0</v>
      </c>
      <c r="I7" s="174"/>
      <c r="K7" s="175"/>
    </row>
    <row r="8" spans="1:11" ht="52.5" customHeight="1" x14ac:dyDescent="0.25">
      <c r="A8" s="258"/>
      <c r="B8" s="259" t="s">
        <v>138</v>
      </c>
      <c r="C8" s="260" t="s">
        <v>69</v>
      </c>
      <c r="D8" s="275">
        <v>88842544</v>
      </c>
      <c r="E8" s="261" t="s">
        <v>2</v>
      </c>
      <c r="F8" s="275">
        <v>0</v>
      </c>
      <c r="G8" s="275">
        <v>0</v>
      </c>
      <c r="H8" s="275">
        <v>0</v>
      </c>
      <c r="I8" s="174"/>
      <c r="K8" s="175"/>
    </row>
    <row r="9" spans="1:11" ht="34.5" customHeight="1" x14ac:dyDescent="0.25">
      <c r="A9" s="258"/>
      <c r="B9" s="259" t="s">
        <v>139</v>
      </c>
      <c r="C9" s="260" t="s">
        <v>113</v>
      </c>
      <c r="D9" s="275">
        <v>99728908</v>
      </c>
      <c r="E9" s="261" t="s">
        <v>2</v>
      </c>
      <c r="F9" s="275">
        <v>0</v>
      </c>
      <c r="G9" s="275">
        <v>0</v>
      </c>
      <c r="H9" s="275">
        <v>0</v>
      </c>
      <c r="I9" s="174"/>
      <c r="K9" s="175"/>
    </row>
    <row r="10" spans="1:11" ht="34.5" customHeight="1" x14ac:dyDescent="0.25">
      <c r="A10" s="258"/>
      <c r="B10" s="259" t="s">
        <v>139</v>
      </c>
      <c r="C10" s="260" t="s">
        <v>113</v>
      </c>
      <c r="D10" s="275">
        <v>99728908</v>
      </c>
      <c r="E10" s="261" t="s">
        <v>2</v>
      </c>
      <c r="F10" s="275">
        <v>0</v>
      </c>
      <c r="G10" s="275">
        <v>0</v>
      </c>
      <c r="H10" s="275">
        <v>0</v>
      </c>
      <c r="I10" s="174"/>
      <c r="K10" s="175"/>
    </row>
    <row r="11" spans="1:11" ht="34.5" customHeight="1" x14ac:dyDescent="0.25">
      <c r="A11" s="258"/>
      <c r="B11" s="259" t="s">
        <v>139</v>
      </c>
      <c r="C11" s="260" t="s">
        <v>113</v>
      </c>
      <c r="D11" s="275">
        <v>99728908</v>
      </c>
      <c r="E11" s="261" t="s">
        <v>2</v>
      </c>
      <c r="F11" s="275">
        <v>0</v>
      </c>
      <c r="G11" s="275">
        <v>0</v>
      </c>
      <c r="H11" s="275">
        <v>0</v>
      </c>
      <c r="I11" s="174"/>
      <c r="K11" s="175"/>
    </row>
    <row r="12" spans="1:11" ht="34.5" customHeight="1" x14ac:dyDescent="0.25">
      <c r="A12" s="258"/>
      <c r="B12" s="259" t="s">
        <v>75</v>
      </c>
      <c r="C12" s="262" t="s">
        <v>75</v>
      </c>
      <c r="D12" s="263">
        <v>9163241877.7600002</v>
      </c>
      <c r="E12" s="263" t="s">
        <v>2</v>
      </c>
      <c r="F12" s="275">
        <v>1939189712.76</v>
      </c>
      <c r="G12" s="263">
        <v>1713350613.76</v>
      </c>
      <c r="H12" s="263">
        <v>1713350613.76</v>
      </c>
      <c r="I12" s="174"/>
      <c r="K12" s="175"/>
    </row>
    <row r="13" spans="1:11" ht="34.5" customHeight="1" x14ac:dyDescent="0.25">
      <c r="A13" s="258"/>
      <c r="B13" s="259" t="s">
        <v>75</v>
      </c>
      <c r="C13" s="262" t="s">
        <v>75</v>
      </c>
      <c r="D13" s="263">
        <v>849150</v>
      </c>
      <c r="E13" s="263" t="s">
        <v>1</v>
      </c>
      <c r="F13" s="275">
        <v>849150</v>
      </c>
      <c r="G13" s="263"/>
      <c r="H13" s="263"/>
      <c r="I13" s="174"/>
      <c r="K13" s="175"/>
    </row>
    <row r="14" spans="1:11" ht="34.5" customHeight="1" x14ac:dyDescent="0.25">
      <c r="A14" s="271"/>
      <c r="B14" s="259" t="s">
        <v>75</v>
      </c>
      <c r="C14" s="262" t="s">
        <v>75</v>
      </c>
      <c r="D14" s="263">
        <v>73163775</v>
      </c>
      <c r="E14" s="263" t="s">
        <v>183</v>
      </c>
      <c r="F14" s="275">
        <v>73163775</v>
      </c>
      <c r="G14" s="263">
        <v>73163775</v>
      </c>
      <c r="H14" s="263">
        <v>73163775</v>
      </c>
      <c r="I14" s="174"/>
      <c r="K14" s="175"/>
    </row>
    <row r="15" spans="1:11" ht="28.5" customHeight="1" x14ac:dyDescent="0.25">
      <c r="A15" s="258"/>
      <c r="B15" s="185" t="s">
        <v>62</v>
      </c>
      <c r="C15" s="192"/>
      <c r="D15" s="276">
        <f>SUBTOTAL(9,D3:D14)</f>
        <v>12981543289.76</v>
      </c>
      <c r="E15" s="191"/>
      <c r="F15" s="276">
        <f>SUBTOTAL(9,F3:F14)</f>
        <v>2013202637.76</v>
      </c>
      <c r="G15" s="276">
        <f t="shared" ref="G15:H15" si="0">SUBTOTAL(9,G3:G14)</f>
        <v>1786514388.76</v>
      </c>
      <c r="H15" s="276">
        <f t="shared" si="0"/>
        <v>1786514388.76</v>
      </c>
      <c r="I15" s="174"/>
      <c r="K15" s="175"/>
    </row>
    <row r="16" spans="1:11" ht="28.5" customHeight="1" x14ac:dyDescent="0.3">
      <c r="A16" s="258"/>
      <c r="I16" s="174"/>
      <c r="K16" s="175"/>
    </row>
    <row r="17" spans="1:11" x14ac:dyDescent="0.3">
      <c r="A17" s="258"/>
      <c r="D17" s="277"/>
      <c r="I17" s="174"/>
      <c r="K17" s="175"/>
    </row>
    <row r="18" spans="1:11" x14ac:dyDescent="0.3">
      <c r="A18" s="258"/>
      <c r="I18" s="174"/>
      <c r="K18" s="175"/>
    </row>
    <row r="19" spans="1:11" x14ac:dyDescent="0.3">
      <c r="A19" s="258"/>
      <c r="I19" s="174"/>
      <c r="K19" s="175"/>
    </row>
    <row r="20" spans="1:11" x14ac:dyDescent="0.3">
      <c r="A20" s="258"/>
      <c r="I20" s="174"/>
      <c r="K20" s="175"/>
    </row>
    <row r="21" spans="1:11" x14ac:dyDescent="0.3">
      <c r="A21" s="258"/>
      <c r="I21" s="174"/>
      <c r="K21" s="175"/>
    </row>
    <row r="22" spans="1:11" x14ac:dyDescent="0.3">
      <c r="A22" s="258"/>
      <c r="I22" s="174"/>
      <c r="K22" s="175"/>
    </row>
    <row r="23" spans="1:11" x14ac:dyDescent="0.3">
      <c r="A23" s="258"/>
      <c r="I23" s="174"/>
      <c r="K23" s="175"/>
    </row>
    <row r="24" spans="1:11" x14ac:dyDescent="0.3">
      <c r="A24" s="258"/>
      <c r="I24" s="174"/>
      <c r="K24" s="175"/>
    </row>
    <row r="25" spans="1:11" x14ac:dyDescent="0.3">
      <c r="A25" s="258"/>
      <c r="I25" s="174"/>
      <c r="K25" s="175"/>
    </row>
    <row r="26" spans="1:11" x14ac:dyDescent="0.3">
      <c r="A26" s="258"/>
      <c r="I26" s="174"/>
      <c r="K26" s="175"/>
    </row>
    <row r="27" spans="1:11" x14ac:dyDescent="0.3">
      <c r="A27" s="258"/>
      <c r="I27" s="174"/>
      <c r="K27" s="175"/>
    </row>
    <row r="28" spans="1:11" x14ac:dyDescent="0.3">
      <c r="A28" s="258"/>
      <c r="I28" s="174"/>
      <c r="K28" s="175"/>
    </row>
    <row r="29" spans="1:11" x14ac:dyDescent="0.3">
      <c r="A29" s="258"/>
      <c r="I29" s="174"/>
      <c r="K29" s="175"/>
    </row>
    <row r="30" spans="1:11" x14ac:dyDescent="0.3">
      <c r="A30" s="258"/>
      <c r="I30" s="174"/>
      <c r="K30" s="175"/>
    </row>
    <row r="31" spans="1:11" x14ac:dyDescent="0.3">
      <c r="A31" s="258"/>
      <c r="I31" s="174"/>
      <c r="K31" s="175"/>
    </row>
    <row r="32" spans="1:11" x14ac:dyDescent="0.3">
      <c r="A32" s="258"/>
      <c r="I32" s="174"/>
      <c r="K32" s="175"/>
    </row>
    <row r="33" spans="1:11" x14ac:dyDescent="0.3">
      <c r="A33" s="258"/>
      <c r="I33" s="174"/>
      <c r="K33" s="175"/>
    </row>
    <row r="34" spans="1:11" x14ac:dyDescent="0.3">
      <c r="A34" s="258"/>
      <c r="I34" s="174"/>
      <c r="K34" s="175"/>
    </row>
    <row r="35" spans="1:11" x14ac:dyDescent="0.3">
      <c r="A35" s="258"/>
      <c r="I35" s="174"/>
      <c r="K35" s="175"/>
    </row>
    <row r="36" spans="1:11" x14ac:dyDescent="0.3">
      <c r="A36" s="258"/>
      <c r="I36" s="174"/>
      <c r="K36" s="175"/>
    </row>
    <row r="37" spans="1:11" x14ac:dyDescent="0.3">
      <c r="A37" s="258"/>
      <c r="I37" s="174"/>
      <c r="K37" s="175"/>
    </row>
    <row r="38" spans="1:11" x14ac:dyDescent="0.3">
      <c r="A38" s="258"/>
      <c r="I38" s="174"/>
      <c r="K38" s="175"/>
    </row>
    <row r="39" spans="1:11" x14ac:dyDescent="0.3">
      <c r="A39" s="258"/>
      <c r="I39" s="174"/>
      <c r="K39" s="175"/>
    </row>
    <row r="40" spans="1:11" x14ac:dyDescent="0.3">
      <c r="A40" s="258"/>
      <c r="I40" s="174"/>
      <c r="K40" s="175"/>
    </row>
    <row r="41" spans="1:11" x14ac:dyDescent="0.3">
      <c r="A41" s="258"/>
      <c r="I41" s="174"/>
      <c r="K41" s="175"/>
    </row>
    <row r="42" spans="1:11" x14ac:dyDescent="0.3">
      <c r="A42" s="258"/>
      <c r="I42" s="174"/>
      <c r="K42" s="175"/>
    </row>
    <row r="43" spans="1:11" x14ac:dyDescent="0.3">
      <c r="A43" s="258"/>
      <c r="I43" s="174"/>
      <c r="K43" s="175"/>
    </row>
    <row r="44" spans="1:11" x14ac:dyDescent="0.3">
      <c r="A44" s="258"/>
      <c r="I44" s="174"/>
      <c r="K44" s="175"/>
    </row>
    <row r="45" spans="1:11" x14ac:dyDescent="0.3">
      <c r="A45" s="258"/>
      <c r="I45" s="174"/>
      <c r="K45" s="175"/>
    </row>
    <row r="46" spans="1:11" x14ac:dyDescent="0.3">
      <c r="A46" s="258"/>
      <c r="I46" s="174"/>
      <c r="K46" s="175"/>
    </row>
    <row r="47" spans="1:11" x14ac:dyDescent="0.3">
      <c r="A47" s="258"/>
      <c r="I47" s="174"/>
      <c r="K47" s="175"/>
    </row>
    <row r="48" spans="1:11" x14ac:dyDescent="0.3">
      <c r="A48" s="258"/>
      <c r="I48" s="174"/>
      <c r="K48" s="175"/>
    </row>
    <row r="49" spans="1:11" x14ac:dyDescent="0.3">
      <c r="A49" s="258"/>
      <c r="I49" s="174"/>
      <c r="K49" s="175"/>
    </row>
    <row r="50" spans="1:11" x14ac:dyDescent="0.3">
      <c r="A50" s="258"/>
      <c r="I50" s="174"/>
      <c r="K50" s="175"/>
    </row>
    <row r="51" spans="1:11" x14ac:dyDescent="0.3">
      <c r="A51" s="258"/>
      <c r="I51" s="174"/>
      <c r="K51" s="175"/>
    </row>
    <row r="52" spans="1:11" x14ac:dyDescent="0.3">
      <c r="A52" s="258"/>
      <c r="I52" s="174"/>
      <c r="K52" s="175"/>
    </row>
    <row r="53" spans="1:11" x14ac:dyDescent="0.3">
      <c r="A53" s="258"/>
      <c r="I53" s="174"/>
      <c r="K53" s="175"/>
    </row>
    <row r="54" spans="1:11" x14ac:dyDescent="0.3">
      <c r="A54" s="258"/>
      <c r="I54" s="174"/>
      <c r="K54" s="175"/>
    </row>
    <row r="55" spans="1:11" x14ac:dyDescent="0.3">
      <c r="A55" s="258"/>
      <c r="I55" s="174"/>
      <c r="K55" s="175"/>
    </row>
    <row r="56" spans="1:11" x14ac:dyDescent="0.3">
      <c r="A56" s="258"/>
      <c r="I56" s="174"/>
      <c r="K56" s="175"/>
    </row>
    <row r="57" spans="1:11" x14ac:dyDescent="0.3">
      <c r="A57" s="258"/>
      <c r="I57" s="174"/>
      <c r="K57" s="175"/>
    </row>
    <row r="58" spans="1:11" x14ac:dyDescent="0.3">
      <c r="A58" s="258"/>
      <c r="I58" s="174"/>
      <c r="K58" s="175"/>
    </row>
    <row r="59" spans="1:11" x14ac:dyDescent="0.3">
      <c r="A59" s="258"/>
      <c r="I59" s="174"/>
      <c r="K59" s="175"/>
    </row>
    <row r="60" spans="1:11" x14ac:dyDescent="0.3">
      <c r="A60" s="258"/>
      <c r="I60" s="174"/>
      <c r="K60" s="175"/>
    </row>
    <row r="61" spans="1:11" x14ac:dyDescent="0.3">
      <c r="A61" s="258"/>
      <c r="I61" s="174"/>
      <c r="K61" s="175"/>
    </row>
    <row r="62" spans="1:11" x14ac:dyDescent="0.3">
      <c r="A62" s="258"/>
      <c r="I62" s="174"/>
      <c r="K62" s="175"/>
    </row>
    <row r="63" spans="1:11" x14ac:dyDescent="0.3">
      <c r="A63" s="258"/>
      <c r="I63" s="174"/>
      <c r="K63" s="175"/>
    </row>
    <row r="64" spans="1:11" x14ac:dyDescent="0.3">
      <c r="A64" s="258"/>
      <c r="I64" s="174"/>
      <c r="K64" s="175"/>
    </row>
    <row r="65" spans="1:11" x14ac:dyDescent="0.3">
      <c r="A65" s="258"/>
      <c r="I65" s="174"/>
      <c r="K65" s="175"/>
    </row>
    <row r="66" spans="1:11" x14ac:dyDescent="0.3">
      <c r="A66" s="258"/>
      <c r="I66" s="174"/>
      <c r="K66" s="175"/>
    </row>
    <row r="67" spans="1:11" x14ac:dyDescent="0.3">
      <c r="A67" s="258"/>
      <c r="I67" s="174"/>
      <c r="K67" s="175"/>
    </row>
    <row r="68" spans="1:11" x14ac:dyDescent="0.3">
      <c r="A68" s="258"/>
      <c r="I68" s="174"/>
      <c r="K68" s="175"/>
    </row>
    <row r="69" spans="1:11" x14ac:dyDescent="0.3">
      <c r="A69" s="258"/>
      <c r="I69" s="174"/>
      <c r="K69" s="175"/>
    </row>
    <row r="70" spans="1:11" x14ac:dyDescent="0.3">
      <c r="A70" s="258"/>
      <c r="I70" s="174"/>
      <c r="K70" s="175"/>
    </row>
    <row r="71" spans="1:11" x14ac:dyDescent="0.3">
      <c r="A71" s="258"/>
      <c r="I71" s="174"/>
      <c r="K71" s="175"/>
    </row>
    <row r="72" spans="1:11" x14ac:dyDescent="0.3">
      <c r="A72" s="258"/>
      <c r="I72" s="174"/>
      <c r="K72" s="175"/>
    </row>
    <row r="73" spans="1:11" x14ac:dyDescent="0.3">
      <c r="A73" s="258"/>
      <c r="I73" s="174"/>
      <c r="K73" s="175"/>
    </row>
    <row r="74" spans="1:11" x14ac:dyDescent="0.3">
      <c r="A74" s="258"/>
      <c r="I74" s="174"/>
      <c r="K74" s="175"/>
    </row>
    <row r="75" spans="1:11" x14ac:dyDescent="0.3">
      <c r="A75" s="258"/>
      <c r="I75" s="174"/>
      <c r="K75" s="175"/>
    </row>
    <row r="76" spans="1:11" x14ac:dyDescent="0.3">
      <c r="A76" s="258"/>
      <c r="I76" s="174"/>
      <c r="K76" s="175"/>
    </row>
    <row r="77" spans="1:11" x14ac:dyDescent="0.3">
      <c r="A77" s="258"/>
      <c r="I77" s="174"/>
      <c r="K77" s="175"/>
    </row>
    <row r="78" spans="1:11" x14ac:dyDescent="0.3">
      <c r="A78" s="258"/>
      <c r="I78" s="174"/>
      <c r="K78" s="175"/>
    </row>
    <row r="79" spans="1:11" x14ac:dyDescent="0.3">
      <c r="A79" s="258"/>
      <c r="I79" s="174"/>
      <c r="K79" s="175"/>
    </row>
    <row r="80" spans="1:11" x14ac:dyDescent="0.3">
      <c r="A80" s="258"/>
      <c r="I80" s="174"/>
      <c r="K80" s="175"/>
    </row>
    <row r="81" spans="1:11" x14ac:dyDescent="0.3">
      <c r="A81" s="258"/>
      <c r="I81" s="174"/>
      <c r="K81" s="175"/>
    </row>
    <row r="82" spans="1:11" x14ac:dyDescent="0.3">
      <c r="A82" s="258"/>
      <c r="I82" s="174"/>
      <c r="K82" s="175"/>
    </row>
    <row r="83" spans="1:11" x14ac:dyDescent="0.3">
      <c r="A83" s="258"/>
      <c r="I83" s="174"/>
      <c r="K83" s="175"/>
    </row>
    <row r="84" spans="1:11" x14ac:dyDescent="0.3">
      <c r="A84" s="258"/>
      <c r="I84" s="174"/>
      <c r="K84" s="175"/>
    </row>
    <row r="85" spans="1:11" x14ac:dyDescent="0.3">
      <c r="A85" s="258"/>
      <c r="I85" s="174"/>
      <c r="K85" s="175"/>
    </row>
    <row r="86" spans="1:11" x14ac:dyDescent="0.3">
      <c r="A86" s="258"/>
      <c r="I86" s="174"/>
      <c r="K86" s="175"/>
    </row>
    <row r="87" spans="1:11" x14ac:dyDescent="0.3">
      <c r="A87" s="258"/>
      <c r="I87" s="174"/>
      <c r="K87" s="175"/>
    </row>
    <row r="88" spans="1:11" x14ac:dyDescent="0.3">
      <c r="A88" s="258"/>
      <c r="I88" s="174"/>
      <c r="K88" s="175"/>
    </row>
    <row r="89" spans="1:11" x14ac:dyDescent="0.3">
      <c r="A89" s="258"/>
      <c r="I89" s="174"/>
      <c r="K89" s="175"/>
    </row>
    <row r="90" spans="1:11" x14ac:dyDescent="0.3">
      <c r="A90" s="258"/>
      <c r="I90" s="174"/>
      <c r="K90" s="175"/>
    </row>
    <row r="91" spans="1:11" x14ac:dyDescent="0.3">
      <c r="A91" s="258"/>
      <c r="I91" s="174"/>
      <c r="K91" s="175"/>
    </row>
    <row r="92" spans="1:11" x14ac:dyDescent="0.3">
      <c r="A92" s="258"/>
      <c r="I92" s="174"/>
      <c r="K92" s="175"/>
    </row>
    <row r="93" spans="1:11" x14ac:dyDescent="0.3">
      <c r="A93" s="258"/>
      <c r="I93" s="174"/>
      <c r="K93" s="175"/>
    </row>
    <row r="94" spans="1:11" x14ac:dyDescent="0.3">
      <c r="A94" s="258"/>
      <c r="I94" s="174"/>
      <c r="K94" s="175"/>
    </row>
    <row r="95" spans="1:11" x14ac:dyDescent="0.3">
      <c r="A95" s="258"/>
      <c r="I95" s="174"/>
      <c r="K95" s="175"/>
    </row>
    <row r="96" spans="1:11" x14ac:dyDescent="0.3">
      <c r="A96" s="258"/>
      <c r="I96" s="174"/>
      <c r="K96" s="175"/>
    </row>
    <row r="97" spans="1:11" x14ac:dyDescent="0.3">
      <c r="A97" s="258"/>
      <c r="I97" s="174"/>
      <c r="K97" s="175"/>
    </row>
    <row r="98" spans="1:11" x14ac:dyDescent="0.3">
      <c r="A98" s="258"/>
      <c r="I98" s="174"/>
      <c r="K98" s="175"/>
    </row>
    <row r="99" spans="1:11" x14ac:dyDescent="0.3">
      <c r="A99" s="258"/>
      <c r="I99" s="174"/>
      <c r="K99" s="175"/>
    </row>
    <row r="100" spans="1:11" x14ac:dyDescent="0.3">
      <c r="A100" s="258"/>
      <c r="I100" s="174"/>
      <c r="K100" s="175"/>
    </row>
    <row r="101" spans="1:11" x14ac:dyDescent="0.3">
      <c r="A101" s="258"/>
      <c r="I101" s="174"/>
      <c r="K101" s="175"/>
    </row>
    <row r="102" spans="1:11" x14ac:dyDescent="0.3">
      <c r="A102" s="258"/>
      <c r="I102" s="174"/>
      <c r="K102" s="175"/>
    </row>
    <row r="103" spans="1:11" x14ac:dyDescent="0.3">
      <c r="A103" s="258"/>
      <c r="I103" s="174"/>
      <c r="K103" s="175"/>
    </row>
    <row r="104" spans="1:11" x14ac:dyDescent="0.3">
      <c r="A104" s="258"/>
      <c r="I104" s="174"/>
      <c r="K104" s="175"/>
    </row>
    <row r="105" spans="1:11" x14ac:dyDescent="0.3">
      <c r="A105" s="258"/>
      <c r="I105" s="174"/>
      <c r="K105" s="175"/>
    </row>
    <row r="106" spans="1:11" x14ac:dyDescent="0.3">
      <c r="A106" s="258"/>
      <c r="I106" s="174"/>
      <c r="K106" s="175"/>
    </row>
    <row r="107" spans="1:11" x14ac:dyDescent="0.3">
      <c r="A107" s="258"/>
      <c r="I107" s="174"/>
      <c r="K107" s="175"/>
    </row>
    <row r="108" spans="1:11" x14ac:dyDescent="0.3">
      <c r="A108" s="258"/>
      <c r="I108" s="174"/>
      <c r="K108" s="175"/>
    </row>
    <row r="109" spans="1:11" x14ac:dyDescent="0.3">
      <c r="A109" s="258"/>
      <c r="I109" s="174"/>
      <c r="K109" s="175"/>
    </row>
    <row r="110" spans="1:11" x14ac:dyDescent="0.3">
      <c r="A110" s="258"/>
      <c r="I110" s="174"/>
      <c r="K110" s="175"/>
    </row>
    <row r="111" spans="1:11" x14ac:dyDescent="0.3">
      <c r="A111" s="258"/>
      <c r="I111" s="174"/>
      <c r="K111" s="175"/>
    </row>
    <row r="112" spans="1:11" x14ac:dyDescent="0.3">
      <c r="A112" s="258"/>
      <c r="I112" s="174"/>
      <c r="K112" s="175"/>
    </row>
    <row r="113" spans="1:11" x14ac:dyDescent="0.3">
      <c r="A113" s="258"/>
      <c r="I113" s="174"/>
      <c r="K113" s="175"/>
    </row>
    <row r="114" spans="1:11" x14ac:dyDescent="0.3">
      <c r="A114" s="258"/>
      <c r="I114" s="174"/>
      <c r="K114" s="175"/>
    </row>
    <row r="115" spans="1:11" x14ac:dyDescent="0.3">
      <c r="A115" s="258"/>
      <c r="I115" s="174"/>
      <c r="K115" s="175"/>
    </row>
    <row r="116" spans="1:11" x14ac:dyDescent="0.3">
      <c r="A116" s="258"/>
      <c r="I116" s="174"/>
      <c r="K116" s="175"/>
    </row>
    <row r="117" spans="1:11" x14ac:dyDescent="0.3">
      <c r="A117" s="258"/>
      <c r="I117" s="174"/>
      <c r="K117" s="175"/>
    </row>
    <row r="118" spans="1:11" x14ac:dyDescent="0.3">
      <c r="A118" s="258"/>
      <c r="I118" s="174"/>
      <c r="K118" s="175"/>
    </row>
    <row r="119" spans="1:11" x14ac:dyDescent="0.3">
      <c r="A119" s="258"/>
      <c r="I119" s="174"/>
      <c r="K119" s="175"/>
    </row>
    <row r="120" spans="1:11" x14ac:dyDescent="0.3">
      <c r="A120" s="258"/>
      <c r="I120" s="174"/>
      <c r="K120" s="175"/>
    </row>
    <row r="121" spans="1:11" x14ac:dyDescent="0.3">
      <c r="A121" s="258"/>
      <c r="I121" s="174"/>
      <c r="K121" s="175"/>
    </row>
    <row r="122" spans="1:11" x14ac:dyDescent="0.3">
      <c r="A122" s="258"/>
      <c r="I122" s="174"/>
      <c r="K122" s="175"/>
    </row>
    <row r="123" spans="1:11" x14ac:dyDescent="0.3">
      <c r="A123" s="258"/>
      <c r="I123" s="174"/>
      <c r="K123" s="175"/>
    </row>
    <row r="124" spans="1:11" x14ac:dyDescent="0.3">
      <c r="A124" s="258"/>
      <c r="I124" s="174"/>
      <c r="K124" s="175"/>
    </row>
    <row r="125" spans="1:11" x14ac:dyDescent="0.3">
      <c r="A125" s="258"/>
      <c r="I125" s="174"/>
      <c r="K125" s="175"/>
    </row>
    <row r="126" spans="1:11" x14ac:dyDescent="0.3">
      <c r="A126" s="258"/>
      <c r="I126" s="174"/>
      <c r="K126" s="175"/>
    </row>
    <row r="127" spans="1:11" x14ac:dyDescent="0.3">
      <c r="A127" s="258"/>
      <c r="I127" s="174"/>
      <c r="K127" s="175"/>
    </row>
    <row r="128" spans="1:11" x14ac:dyDescent="0.3">
      <c r="A128" s="258"/>
      <c r="I128" s="174"/>
      <c r="K128" s="175"/>
    </row>
    <row r="129" spans="1:11" x14ac:dyDescent="0.3">
      <c r="A129" s="258"/>
      <c r="I129" s="174"/>
      <c r="K129" s="175"/>
    </row>
    <row r="130" spans="1:11" x14ac:dyDescent="0.3">
      <c r="A130" s="258"/>
      <c r="I130" s="174"/>
      <c r="K130" s="175"/>
    </row>
    <row r="131" spans="1:11" x14ac:dyDescent="0.3">
      <c r="A131" s="258"/>
      <c r="I131" s="174"/>
      <c r="K131" s="175"/>
    </row>
    <row r="132" spans="1:11" x14ac:dyDescent="0.3">
      <c r="A132" s="258"/>
      <c r="I132" s="174"/>
      <c r="K132" s="175"/>
    </row>
    <row r="133" spans="1:11" x14ac:dyDescent="0.3">
      <c r="A133" s="258"/>
      <c r="I133" s="174"/>
      <c r="K133" s="175"/>
    </row>
    <row r="134" spans="1:11" x14ac:dyDescent="0.3">
      <c r="A134" s="258"/>
      <c r="I134" s="174"/>
      <c r="K134" s="175"/>
    </row>
    <row r="135" spans="1:11" x14ac:dyDescent="0.3">
      <c r="A135" s="258"/>
      <c r="I135" s="174"/>
      <c r="K135" s="175"/>
    </row>
    <row r="136" spans="1:11" x14ac:dyDescent="0.3">
      <c r="A136" s="258"/>
      <c r="I136" s="174"/>
      <c r="K136" s="175"/>
    </row>
    <row r="137" spans="1:11" x14ac:dyDescent="0.3">
      <c r="A137" s="258"/>
      <c r="I137" s="174"/>
      <c r="K137" s="175"/>
    </row>
    <row r="138" spans="1:11" x14ac:dyDescent="0.3">
      <c r="A138" s="258"/>
      <c r="I138" s="174"/>
      <c r="K138" s="175"/>
    </row>
    <row r="139" spans="1:11" x14ac:dyDescent="0.3">
      <c r="A139" s="258"/>
      <c r="I139" s="174"/>
      <c r="K139" s="175"/>
    </row>
    <row r="140" spans="1:11" x14ac:dyDescent="0.3">
      <c r="A140" s="258"/>
      <c r="I140" s="174"/>
      <c r="K140" s="175"/>
    </row>
    <row r="141" spans="1:11" x14ac:dyDescent="0.3">
      <c r="A141" s="258"/>
      <c r="I141" s="174"/>
      <c r="K141" s="175"/>
    </row>
    <row r="142" spans="1:11" x14ac:dyDescent="0.3">
      <c r="A142" s="258"/>
      <c r="I142" s="174"/>
      <c r="K142" s="175"/>
    </row>
    <row r="143" spans="1:11" x14ac:dyDescent="0.3">
      <c r="A143" s="258"/>
      <c r="I143" s="174"/>
      <c r="K143" s="175"/>
    </row>
    <row r="144" spans="1:11" x14ac:dyDescent="0.3">
      <c r="A144" s="258"/>
      <c r="I144" s="174"/>
      <c r="K144" s="175"/>
    </row>
    <row r="145" spans="1:11" x14ac:dyDescent="0.3">
      <c r="A145" s="258"/>
      <c r="I145" s="174"/>
      <c r="K145" s="175"/>
    </row>
    <row r="146" spans="1:11" x14ac:dyDescent="0.3">
      <c r="A146" s="258"/>
      <c r="I146" s="174"/>
      <c r="K146" s="175"/>
    </row>
    <row r="147" spans="1:11" x14ac:dyDescent="0.3">
      <c r="A147" s="258"/>
      <c r="I147" s="174"/>
      <c r="K147" s="175"/>
    </row>
    <row r="148" spans="1:11" x14ac:dyDescent="0.3">
      <c r="A148" s="258"/>
      <c r="I148" s="174"/>
      <c r="K148" s="175"/>
    </row>
    <row r="149" spans="1:11" x14ac:dyDescent="0.3">
      <c r="A149" s="258"/>
      <c r="I149" s="174"/>
      <c r="K149" s="175"/>
    </row>
    <row r="150" spans="1:11" x14ac:dyDescent="0.3">
      <c r="A150" s="258"/>
      <c r="I150" s="174"/>
      <c r="K150" s="175"/>
    </row>
    <row r="151" spans="1:11" x14ac:dyDescent="0.3">
      <c r="A151" s="258"/>
      <c r="I151" s="174"/>
      <c r="K151" s="175"/>
    </row>
    <row r="152" spans="1:11" x14ac:dyDescent="0.3">
      <c r="A152" s="258"/>
      <c r="I152" s="174"/>
      <c r="K152" s="175"/>
    </row>
    <row r="153" spans="1:11" x14ac:dyDescent="0.3">
      <c r="A153" s="258"/>
      <c r="I153" s="174"/>
      <c r="K153" s="175"/>
    </row>
    <row r="154" spans="1:11" x14ac:dyDescent="0.3">
      <c r="A154" s="258"/>
      <c r="I154" s="174"/>
      <c r="K154" s="175"/>
    </row>
    <row r="155" spans="1:11" x14ac:dyDescent="0.3">
      <c r="A155" s="258"/>
      <c r="I155" s="174"/>
      <c r="K155" s="175"/>
    </row>
    <row r="156" spans="1:11" x14ac:dyDescent="0.3">
      <c r="A156" s="258"/>
      <c r="I156" s="174"/>
      <c r="K156" s="175"/>
    </row>
    <row r="157" spans="1:11" x14ac:dyDescent="0.3">
      <c r="A157" s="258"/>
      <c r="I157" s="174"/>
      <c r="K157" s="175"/>
    </row>
    <row r="158" spans="1:11" x14ac:dyDescent="0.3">
      <c r="A158" s="258"/>
      <c r="I158" s="174"/>
      <c r="K158" s="175"/>
    </row>
    <row r="159" spans="1:11" x14ac:dyDescent="0.3">
      <c r="A159" s="258"/>
      <c r="I159" s="174"/>
      <c r="K159" s="175"/>
    </row>
    <row r="160" spans="1:11" x14ac:dyDescent="0.3">
      <c r="A160" s="258"/>
      <c r="I160" s="174"/>
      <c r="K160" s="175"/>
    </row>
    <row r="161" spans="1:12" x14ac:dyDescent="0.3">
      <c r="A161" s="258"/>
      <c r="I161" s="174"/>
      <c r="K161" s="175"/>
    </row>
    <row r="162" spans="1:12" x14ac:dyDescent="0.3">
      <c r="A162" s="258"/>
      <c r="I162" s="174"/>
      <c r="K162" s="175"/>
    </row>
    <row r="163" spans="1:12" x14ac:dyDescent="0.3">
      <c r="A163" s="258"/>
      <c r="I163" s="174"/>
      <c r="K163" s="175"/>
    </row>
    <row r="164" spans="1:12" x14ac:dyDescent="0.3">
      <c r="A164" s="258"/>
      <c r="I164" s="264"/>
      <c r="K164" s="175"/>
    </row>
    <row r="165" spans="1:12" x14ac:dyDescent="0.3">
      <c r="A165" s="258"/>
      <c r="I165" s="264"/>
      <c r="J165" s="169">
        <v>183332434</v>
      </c>
      <c r="K165" s="175">
        <v>157044092</v>
      </c>
      <c r="L165" s="175">
        <f>+J165-K165</f>
        <v>26288342</v>
      </c>
    </row>
    <row r="166" spans="1:12" x14ac:dyDescent="0.3">
      <c r="A166" s="258"/>
      <c r="I166" s="264"/>
      <c r="K166" s="175"/>
    </row>
    <row r="167" spans="1:12" x14ac:dyDescent="0.3">
      <c r="A167" s="258"/>
      <c r="I167" s="264"/>
      <c r="K167" s="175"/>
    </row>
    <row r="168" spans="1:12" x14ac:dyDescent="0.3">
      <c r="A168" s="258"/>
      <c r="I168" s="264"/>
      <c r="K168" s="175"/>
    </row>
    <row r="169" spans="1:12" x14ac:dyDescent="0.3">
      <c r="A169" s="258"/>
      <c r="I169" s="264"/>
      <c r="K169" s="175"/>
    </row>
    <row r="170" spans="1:12" x14ac:dyDescent="0.3">
      <c r="A170" s="258"/>
      <c r="I170" s="174"/>
      <c r="K170" s="175"/>
    </row>
    <row r="171" spans="1:12" x14ac:dyDescent="0.3">
      <c r="A171" s="258"/>
      <c r="I171" s="174"/>
      <c r="K171" s="175"/>
    </row>
    <row r="172" spans="1:12" x14ac:dyDescent="0.3">
      <c r="A172" s="258"/>
      <c r="I172" s="174"/>
      <c r="K172" s="175"/>
    </row>
    <row r="173" spans="1:12" x14ac:dyDescent="0.3">
      <c r="A173" s="258"/>
      <c r="I173" s="174"/>
      <c r="K173" s="175"/>
    </row>
    <row r="174" spans="1:12" x14ac:dyDescent="0.3">
      <c r="A174" s="258"/>
      <c r="I174" s="174"/>
      <c r="K174" s="175"/>
    </row>
    <row r="175" spans="1:12" x14ac:dyDescent="0.3">
      <c r="A175" s="258"/>
      <c r="I175" s="174"/>
      <c r="K175" s="175"/>
    </row>
    <row r="176" spans="1:12" x14ac:dyDescent="0.3">
      <c r="A176" s="258"/>
      <c r="I176" s="174"/>
      <c r="K176" s="175"/>
    </row>
    <row r="177" spans="1:11" x14ac:dyDescent="0.3">
      <c r="A177" s="258"/>
      <c r="I177" s="174"/>
      <c r="K177" s="175"/>
    </row>
    <row r="178" spans="1:11" x14ac:dyDescent="0.3">
      <c r="A178" s="258"/>
      <c r="I178" s="174"/>
      <c r="K178" s="175"/>
    </row>
    <row r="179" spans="1:11" x14ac:dyDescent="0.3">
      <c r="A179" s="258"/>
      <c r="I179" s="174"/>
      <c r="K179" s="175"/>
    </row>
    <row r="180" spans="1:11" x14ac:dyDescent="0.3">
      <c r="A180" s="258"/>
      <c r="I180" s="174"/>
      <c r="K180" s="175"/>
    </row>
    <row r="181" spans="1:11" x14ac:dyDescent="0.3">
      <c r="A181" s="258"/>
      <c r="I181" s="174"/>
      <c r="K181" s="175"/>
    </row>
    <row r="182" spans="1:11" x14ac:dyDescent="0.3">
      <c r="A182" s="258"/>
      <c r="I182" s="174"/>
      <c r="K182" s="175"/>
    </row>
    <row r="183" spans="1:11" x14ac:dyDescent="0.3">
      <c r="A183" s="258"/>
      <c r="I183" s="174"/>
      <c r="K183" s="175"/>
    </row>
    <row r="184" spans="1:11" x14ac:dyDescent="0.3">
      <c r="A184" s="258"/>
      <c r="I184" s="174"/>
      <c r="K184" s="175"/>
    </row>
    <row r="185" spans="1:11" x14ac:dyDescent="0.3">
      <c r="A185" s="258"/>
      <c r="I185" s="174"/>
      <c r="K185" s="175"/>
    </row>
    <row r="186" spans="1:11" x14ac:dyDescent="0.3">
      <c r="A186" s="258"/>
      <c r="I186" s="174"/>
      <c r="K186" s="175"/>
    </row>
    <row r="187" spans="1:11" x14ac:dyDescent="0.3">
      <c r="A187" s="258"/>
      <c r="I187" s="174"/>
      <c r="K187" s="175"/>
    </row>
    <row r="188" spans="1:11" x14ac:dyDescent="0.3">
      <c r="A188" s="258"/>
      <c r="I188" s="174"/>
      <c r="K188" s="175"/>
    </row>
    <row r="189" spans="1:11" x14ac:dyDescent="0.3">
      <c r="A189" s="258"/>
      <c r="I189" s="174"/>
      <c r="K189" s="175"/>
    </row>
    <row r="190" spans="1:11" x14ac:dyDescent="0.3">
      <c r="A190" s="258"/>
      <c r="I190" s="174"/>
      <c r="K190" s="175"/>
    </row>
    <row r="191" spans="1:11" x14ac:dyDescent="0.3">
      <c r="A191" s="258"/>
      <c r="I191" s="174"/>
      <c r="K191" s="175"/>
    </row>
    <row r="192" spans="1:11" x14ac:dyDescent="0.3">
      <c r="A192" s="258"/>
      <c r="I192" s="174"/>
      <c r="K192" s="175"/>
    </row>
    <row r="193" spans="1:11" x14ac:dyDescent="0.3">
      <c r="A193" s="258"/>
      <c r="I193" s="174"/>
      <c r="K193" s="175"/>
    </row>
    <row r="194" spans="1:11" x14ac:dyDescent="0.3">
      <c r="A194" s="258"/>
      <c r="I194" s="174"/>
      <c r="K194" s="175"/>
    </row>
    <row r="195" spans="1:11" x14ac:dyDescent="0.3">
      <c r="A195" s="258"/>
      <c r="I195" s="174"/>
      <c r="K195" s="175"/>
    </row>
    <row r="196" spans="1:11" x14ac:dyDescent="0.3">
      <c r="A196" s="258"/>
      <c r="I196" s="174"/>
      <c r="K196" s="175"/>
    </row>
    <row r="197" spans="1:11" x14ac:dyDescent="0.3">
      <c r="A197" s="258"/>
      <c r="I197" s="174"/>
      <c r="K197" s="175"/>
    </row>
    <row r="198" spans="1:11" x14ac:dyDescent="0.3">
      <c r="A198" s="258"/>
      <c r="I198" s="174"/>
      <c r="K198" s="175"/>
    </row>
    <row r="199" spans="1:11" x14ac:dyDescent="0.3">
      <c r="A199" s="258"/>
      <c r="I199" s="174"/>
      <c r="K199" s="175"/>
    </row>
    <row r="200" spans="1:11" x14ac:dyDescent="0.3">
      <c r="A200" s="258"/>
      <c r="I200" s="174"/>
      <c r="K200" s="175"/>
    </row>
    <row r="201" spans="1:11" x14ac:dyDescent="0.3">
      <c r="A201" s="258"/>
      <c r="I201" s="174"/>
      <c r="K201" s="175"/>
    </row>
    <row r="202" spans="1:11" x14ac:dyDescent="0.3">
      <c r="A202" s="258"/>
      <c r="I202" s="174"/>
      <c r="K202" s="175"/>
    </row>
    <row r="203" spans="1:11" x14ac:dyDescent="0.3">
      <c r="A203" s="258"/>
      <c r="I203" s="174"/>
      <c r="K203" s="175"/>
    </row>
    <row r="204" spans="1:11" x14ac:dyDescent="0.3">
      <c r="A204" s="258"/>
      <c r="I204" s="174"/>
      <c r="K204" s="175"/>
    </row>
    <row r="205" spans="1:11" x14ac:dyDescent="0.3">
      <c r="A205" s="258"/>
      <c r="I205" s="174"/>
      <c r="K205" s="175"/>
    </row>
    <row r="206" spans="1:11" x14ac:dyDescent="0.3">
      <c r="A206" s="258"/>
      <c r="I206" s="174"/>
      <c r="K206" s="175"/>
    </row>
    <row r="207" spans="1:11" x14ac:dyDescent="0.3">
      <c r="A207" s="258"/>
      <c r="I207" s="174"/>
      <c r="K207" s="175"/>
    </row>
    <row r="208" spans="1:11" x14ac:dyDescent="0.3">
      <c r="A208" s="258"/>
      <c r="I208" s="174"/>
      <c r="K208" s="175"/>
    </row>
    <row r="209" spans="1:11 16384:16384" x14ac:dyDescent="0.3">
      <c r="A209" s="258"/>
      <c r="I209" s="174"/>
      <c r="K209" s="175"/>
    </row>
    <row r="210" spans="1:11 16384:16384" x14ac:dyDescent="0.3">
      <c r="A210" s="258"/>
      <c r="I210" s="174"/>
      <c r="K210" s="175"/>
    </row>
    <row r="211" spans="1:11 16384:16384" x14ac:dyDescent="0.3">
      <c r="A211" s="258"/>
      <c r="I211" s="174"/>
      <c r="K211" s="175"/>
    </row>
    <row r="212" spans="1:11 16384:16384" x14ac:dyDescent="0.3">
      <c r="A212" s="258"/>
      <c r="I212" s="174"/>
      <c r="K212" s="175"/>
    </row>
    <row r="213" spans="1:11 16384:16384" x14ac:dyDescent="0.3">
      <c r="A213" s="258"/>
      <c r="I213" s="174"/>
      <c r="K213" s="175"/>
    </row>
    <row r="214" spans="1:11 16384:16384" x14ac:dyDescent="0.3">
      <c r="A214" s="258"/>
      <c r="I214" s="174"/>
      <c r="K214" s="175"/>
    </row>
    <row r="215" spans="1:11 16384:16384" x14ac:dyDescent="0.3">
      <c r="A215" s="258"/>
      <c r="I215" s="174"/>
      <c r="K215" s="175"/>
    </row>
    <row r="216" spans="1:11 16384:16384" x14ac:dyDescent="0.3">
      <c r="A216" s="258"/>
      <c r="I216" s="174"/>
      <c r="K216" s="175"/>
    </row>
    <row r="217" spans="1:11 16384:16384" x14ac:dyDescent="0.3">
      <c r="A217" s="258"/>
      <c r="I217" s="174"/>
      <c r="K217" s="175"/>
    </row>
    <row r="218" spans="1:11 16384:16384" x14ac:dyDescent="0.3">
      <c r="A218" s="258"/>
      <c r="I218" s="174"/>
      <c r="K218" s="175"/>
    </row>
    <row r="219" spans="1:11 16384:16384" x14ac:dyDescent="0.3">
      <c r="A219" s="258"/>
      <c r="I219" s="174"/>
      <c r="K219" s="175"/>
    </row>
    <row r="220" spans="1:11 16384:16384" x14ac:dyDescent="0.3">
      <c r="A220" s="258"/>
      <c r="I220" s="174"/>
      <c r="K220" s="175"/>
    </row>
    <row r="221" spans="1:11 16384:16384" x14ac:dyDescent="0.3">
      <c r="A221" s="258"/>
      <c r="I221" s="174"/>
      <c r="K221" s="175"/>
    </row>
    <row r="222" spans="1:11 16384:16384" x14ac:dyDescent="0.3">
      <c r="A222" s="258"/>
      <c r="I222" s="174"/>
      <c r="K222" s="175"/>
    </row>
    <row r="223" spans="1:11 16384:16384" x14ac:dyDescent="0.3">
      <c r="A223" s="259"/>
      <c r="I223" s="169"/>
      <c r="J223" s="175"/>
      <c r="XFD223" s="259"/>
    </row>
    <row r="224" spans="1:11 16384:16384" ht="25.5" customHeight="1" x14ac:dyDescent="0.3">
      <c r="A224" s="259" t="s">
        <v>111</v>
      </c>
      <c r="I224" s="169"/>
      <c r="J224" s="175"/>
      <c r="XFD224" s="259"/>
    </row>
    <row r="225" spans="1:10 16384:16384" x14ac:dyDescent="0.3">
      <c r="A225" s="259"/>
      <c r="I225" s="169"/>
      <c r="J225" s="175"/>
      <c r="XFD225" s="259"/>
    </row>
    <row r="226" spans="1:10 16384:16384" x14ac:dyDescent="0.3">
      <c r="A226" s="259"/>
      <c r="I226" s="169"/>
      <c r="J226" s="175"/>
      <c r="XFD226" s="259"/>
    </row>
    <row r="227" spans="1:10 16384:16384" x14ac:dyDescent="0.3">
      <c r="A227" s="259"/>
      <c r="I227" s="169"/>
      <c r="J227" s="175"/>
      <c r="XFD227" s="259"/>
    </row>
    <row r="228" spans="1:10 16384:16384" x14ac:dyDescent="0.3">
      <c r="A228" s="259"/>
      <c r="I228" s="169"/>
      <c r="J228" s="175"/>
      <c r="XFD228" s="259"/>
    </row>
    <row r="229" spans="1:10 16384:16384" x14ac:dyDescent="0.3">
      <c r="A229" s="259"/>
      <c r="I229" s="169"/>
      <c r="J229" s="175"/>
      <c r="XFD229" s="259"/>
    </row>
    <row r="230" spans="1:10 16384:16384" x14ac:dyDescent="0.3">
      <c r="A230" s="259"/>
      <c r="I230" s="169"/>
      <c r="J230" s="175"/>
      <c r="XFD230" s="259"/>
    </row>
    <row r="231" spans="1:10 16384:16384" x14ac:dyDescent="0.3">
      <c r="A231" s="259"/>
      <c r="I231" s="169"/>
      <c r="J231" s="175"/>
      <c r="XFD231" s="259"/>
    </row>
    <row r="232" spans="1:10 16384:16384" x14ac:dyDescent="0.3">
      <c r="A232" s="259"/>
      <c r="I232" s="169"/>
      <c r="J232" s="175"/>
      <c r="XFD232" s="259"/>
    </row>
    <row r="233" spans="1:10 16384:16384" x14ac:dyDescent="0.3">
      <c r="A233" s="259"/>
      <c r="I233" s="169"/>
      <c r="J233" s="175"/>
      <c r="XFD233" s="259"/>
    </row>
    <row r="234" spans="1:10 16384:16384" x14ac:dyDescent="0.3">
      <c r="A234" s="259"/>
      <c r="I234" s="169"/>
      <c r="J234" s="175"/>
      <c r="XFD234" s="259"/>
    </row>
    <row r="235" spans="1:10 16384:16384" x14ac:dyDescent="0.3">
      <c r="A235" s="259"/>
      <c r="I235" s="169"/>
      <c r="J235" s="175"/>
      <c r="XFD235" s="259"/>
    </row>
    <row r="236" spans="1:10 16384:16384" x14ac:dyDescent="0.3">
      <c r="A236" s="259"/>
      <c r="I236" s="169"/>
      <c r="J236" s="175"/>
      <c r="XFD236" s="259"/>
    </row>
    <row r="237" spans="1:10 16384:16384" x14ac:dyDescent="0.3">
      <c r="A237" s="259"/>
      <c r="I237" s="169"/>
      <c r="J237" s="175"/>
      <c r="XFD237" s="259"/>
    </row>
    <row r="238" spans="1:10 16384:16384" x14ac:dyDescent="0.3">
      <c r="A238" s="259"/>
      <c r="I238" s="169"/>
      <c r="J238" s="175"/>
      <c r="XFD238" s="259"/>
    </row>
    <row r="239" spans="1:10 16384:16384" x14ac:dyDescent="0.3">
      <c r="A239" s="259"/>
      <c r="I239" s="169"/>
      <c r="J239" s="175"/>
      <c r="XFD239" s="259"/>
    </row>
    <row r="240" spans="1:10 16384:16384" x14ac:dyDescent="0.3">
      <c r="A240" s="259"/>
      <c r="I240" s="169"/>
      <c r="J240" s="175"/>
      <c r="XFD240" s="259"/>
    </row>
    <row r="241" spans="1:10 16384:16384" x14ac:dyDescent="0.3">
      <c r="A241" s="259"/>
      <c r="I241" s="169"/>
      <c r="J241" s="175"/>
      <c r="XFD241" s="259"/>
    </row>
    <row r="242" spans="1:10 16384:16384" x14ac:dyDescent="0.3">
      <c r="A242" s="259"/>
      <c r="I242" s="169"/>
      <c r="J242" s="175"/>
      <c r="XFD242" s="259"/>
    </row>
    <row r="243" spans="1:10 16384:16384" x14ac:dyDescent="0.3">
      <c r="A243" s="259"/>
      <c r="I243" s="169"/>
      <c r="J243" s="175"/>
      <c r="XFD243" s="259"/>
    </row>
    <row r="244" spans="1:10 16384:16384" x14ac:dyDescent="0.3">
      <c r="A244" s="259"/>
      <c r="I244" s="169"/>
      <c r="J244" s="175"/>
      <c r="XFD244" s="259"/>
    </row>
    <row r="245" spans="1:10 16384:16384" x14ac:dyDescent="0.3">
      <c r="A245" s="259"/>
      <c r="I245" s="169"/>
      <c r="J245" s="175"/>
      <c r="XFD245" s="259"/>
    </row>
    <row r="246" spans="1:10 16384:16384" x14ac:dyDescent="0.3">
      <c r="A246" s="265"/>
      <c r="I246" s="169"/>
      <c r="J246" s="175"/>
      <c r="XFD246" s="265"/>
    </row>
    <row r="247" spans="1:10 16384:16384" x14ac:dyDescent="0.3">
      <c r="A247" s="176"/>
      <c r="I247" s="169"/>
      <c r="J247" s="178"/>
      <c r="XFD247" s="176"/>
    </row>
  </sheetData>
  <autoFilter ref="A2:K248" xr:uid="{D25D4625-98F8-4C81-BE59-8E8CF092B716}"/>
  <mergeCells count="1">
    <mergeCell ref="B1:F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CA489-6D9A-41FF-8B52-9309DF726C1F}">
  <dimension ref="A1:AK62"/>
  <sheetViews>
    <sheetView showGridLines="0" workbookViewId="0">
      <pane xSplit="3" ySplit="2" topLeftCell="F3" activePane="bottomRight" state="frozen"/>
      <selection activeCell="D20" sqref="D20"/>
      <selection pane="topRight" activeCell="D20" sqref="D20"/>
      <selection pane="bottomLeft" activeCell="D20" sqref="D20"/>
      <selection pane="bottomRight" activeCell="D20" sqref="D20"/>
    </sheetView>
  </sheetViews>
  <sheetFormatPr baseColWidth="10" defaultColWidth="11.42578125" defaultRowHeight="18" outlineLevelRow="1" outlineLevelCol="1" x14ac:dyDescent="0.25"/>
  <cols>
    <col min="1" max="1" width="16.7109375" style="213" hidden="1" customWidth="1"/>
    <col min="2" max="2" width="47.7109375" style="239" customWidth="1"/>
    <col min="3" max="3" width="22.140625" style="252" hidden="1" customWidth="1" outlineLevel="1"/>
    <col min="4" max="4" width="22.5703125" style="252" hidden="1" customWidth="1" outlineLevel="1"/>
    <col min="5" max="5" width="18.85546875" style="252" hidden="1" customWidth="1" outlineLevel="1"/>
    <col min="6" max="6" width="22.85546875" style="256" bestFit="1" customWidth="1" collapsed="1"/>
    <col min="7" max="7" width="22.7109375" style="237" hidden="1" customWidth="1" outlineLevel="1"/>
    <col min="8" max="9" width="20.7109375" style="237" hidden="1" customWidth="1" outlineLevel="1"/>
    <col min="10" max="10" width="24.5703125" style="237" bestFit="1" customWidth="1" collapsed="1"/>
    <col min="11" max="11" width="21.5703125" style="237" hidden="1" customWidth="1" outlineLevel="1"/>
    <col min="12" max="12" width="22.85546875" style="237" hidden="1" customWidth="1" outlineLevel="1"/>
    <col min="13" max="13" width="23.5703125" style="237" hidden="1" customWidth="1" outlineLevel="1"/>
    <col min="14" max="14" width="23.85546875" style="237" customWidth="1" collapsed="1"/>
    <col min="15" max="15" width="23" style="241" hidden="1" customWidth="1" outlineLevel="1"/>
    <col min="16" max="16" width="18.28515625" style="237" hidden="1" customWidth="1" outlineLevel="1"/>
    <col min="17" max="17" width="17.5703125" style="237" hidden="1" customWidth="1" outlineLevel="1"/>
    <col min="18" max="18" width="20.7109375" style="240" bestFit="1" customWidth="1" collapsed="1"/>
    <col min="19" max="19" width="20.7109375" style="240" hidden="1" customWidth="1" outlineLevel="1"/>
    <col min="20" max="20" width="21.5703125" style="242" hidden="1" customWidth="1" outlineLevel="1"/>
    <col min="21" max="21" width="18.42578125" style="242" hidden="1" customWidth="1" outlineLevel="1"/>
    <col min="22" max="22" width="20.7109375" style="242" bestFit="1" customWidth="1" collapsed="1"/>
    <col min="23" max="23" width="22.140625" style="217" bestFit="1" customWidth="1"/>
    <col min="24" max="24" width="16.28515625" style="217" customWidth="1"/>
    <col min="25" max="25" width="18.42578125" style="217" customWidth="1"/>
    <col min="26" max="35" width="11.42578125" style="217"/>
    <col min="36" max="36" width="15.140625" style="217" customWidth="1"/>
    <col min="37" max="37" width="19.85546875" style="217" bestFit="1" customWidth="1"/>
    <col min="38" max="16384" width="11.42578125" style="217"/>
  </cols>
  <sheetData>
    <row r="1" spans="1:27" ht="34.5" customHeight="1" x14ac:dyDescent="0.25">
      <c r="B1" s="214"/>
      <c r="C1" s="317" t="s">
        <v>140</v>
      </c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215"/>
      <c r="T1" s="216"/>
      <c r="U1" s="216"/>
      <c r="V1" s="216"/>
    </row>
    <row r="2" spans="1:27" s="221" customFormat="1" ht="51.75" customHeight="1" x14ac:dyDescent="0.25">
      <c r="A2" s="218"/>
      <c r="B2" s="219" t="s">
        <v>82</v>
      </c>
      <c r="C2" s="270" t="s">
        <v>64</v>
      </c>
      <c r="D2" s="270" t="s">
        <v>83</v>
      </c>
      <c r="E2" s="270" t="s">
        <v>84</v>
      </c>
      <c r="F2" s="248" t="s">
        <v>85</v>
      </c>
      <c r="G2" s="269" t="s">
        <v>86</v>
      </c>
      <c r="H2" s="269" t="s">
        <v>87</v>
      </c>
      <c r="I2" s="269" t="s">
        <v>88</v>
      </c>
      <c r="J2" s="220" t="s">
        <v>89</v>
      </c>
      <c r="K2" s="269" t="s">
        <v>90</v>
      </c>
      <c r="L2" s="269" t="s">
        <v>91</v>
      </c>
      <c r="M2" s="269" t="s">
        <v>92</v>
      </c>
      <c r="N2" s="220" t="s">
        <v>93</v>
      </c>
      <c r="O2" s="269" t="s">
        <v>94</v>
      </c>
      <c r="P2" s="269" t="s">
        <v>95</v>
      </c>
      <c r="Q2" s="269" t="s">
        <v>96</v>
      </c>
      <c r="R2" s="220" t="s">
        <v>97</v>
      </c>
      <c r="S2" s="269" t="s">
        <v>98</v>
      </c>
      <c r="T2" s="269" t="s">
        <v>99</v>
      </c>
      <c r="U2" s="269" t="s">
        <v>100</v>
      </c>
      <c r="V2" s="220" t="s">
        <v>101</v>
      </c>
      <c r="W2" s="217"/>
    </row>
    <row r="3" spans="1:27" s="224" customFormat="1" ht="22.5" customHeight="1" x14ac:dyDescent="0.25">
      <c r="A3" s="226"/>
      <c r="B3" s="222" t="s">
        <v>102</v>
      </c>
      <c r="C3" s="249">
        <f t="shared" ref="C3:V3" si="0">C4+C12+C43</f>
        <v>19413344096.996002</v>
      </c>
      <c r="D3" s="249">
        <f t="shared" si="0"/>
        <v>35011248230</v>
      </c>
      <c r="E3" s="249">
        <f t="shared" si="0"/>
        <v>419248813</v>
      </c>
      <c r="F3" s="278">
        <f t="shared" si="0"/>
        <v>54843841139.996002</v>
      </c>
      <c r="G3" s="278">
        <f t="shared" si="0"/>
        <v>9163241877.7600002</v>
      </c>
      <c r="H3" s="278">
        <f t="shared" si="0"/>
        <v>849150</v>
      </c>
      <c r="I3" s="278">
        <f t="shared" si="0"/>
        <v>73163775</v>
      </c>
      <c r="J3" s="278">
        <f t="shared" si="0"/>
        <v>9237254802.7600002</v>
      </c>
      <c r="K3" s="278">
        <f t="shared" si="0"/>
        <v>1939189712.76</v>
      </c>
      <c r="L3" s="278">
        <f t="shared" si="0"/>
        <v>849150</v>
      </c>
      <c r="M3" s="278">
        <f t="shared" si="0"/>
        <v>73163775</v>
      </c>
      <c r="N3" s="278">
        <f t="shared" si="0"/>
        <v>2013202637.76</v>
      </c>
      <c r="O3" s="278">
        <f t="shared" si="0"/>
        <v>1713350613.76</v>
      </c>
      <c r="P3" s="278">
        <f t="shared" si="0"/>
        <v>0</v>
      </c>
      <c r="Q3" s="278">
        <f t="shared" si="0"/>
        <v>73163775</v>
      </c>
      <c r="R3" s="278">
        <f t="shared" si="0"/>
        <v>1786514388.76</v>
      </c>
      <c r="S3" s="278">
        <f t="shared" si="0"/>
        <v>1713350613.76</v>
      </c>
      <c r="T3" s="278">
        <f t="shared" si="0"/>
        <v>0</v>
      </c>
      <c r="U3" s="278">
        <f t="shared" si="0"/>
        <v>73163775</v>
      </c>
      <c r="V3" s="278">
        <f t="shared" si="0"/>
        <v>1786514388.76</v>
      </c>
      <c r="W3" s="223"/>
      <c r="Y3" s="225"/>
    </row>
    <row r="4" spans="1:27" s="227" customFormat="1" ht="20.25" customHeight="1" x14ac:dyDescent="0.25">
      <c r="A4" s="226"/>
      <c r="B4" s="226" t="s">
        <v>103</v>
      </c>
      <c r="C4" s="249">
        <f t="shared" ref="C4:V4" si="1">SUM(C5:C11)</f>
        <v>6041095862.9960003</v>
      </c>
      <c r="D4" s="249">
        <f t="shared" si="1"/>
        <v>18234322554</v>
      </c>
      <c r="E4" s="249">
        <f t="shared" si="1"/>
        <v>0</v>
      </c>
      <c r="F4" s="278">
        <f t="shared" si="1"/>
        <v>24275418416.995998</v>
      </c>
      <c r="G4" s="278">
        <f t="shared" si="1"/>
        <v>5247473760</v>
      </c>
      <c r="H4" s="278">
        <f t="shared" si="1"/>
        <v>0</v>
      </c>
      <c r="I4" s="278">
        <f t="shared" si="1"/>
        <v>0</v>
      </c>
      <c r="J4" s="278">
        <f t="shared" si="1"/>
        <v>5247473760</v>
      </c>
      <c r="K4" s="278">
        <f t="shared" si="1"/>
        <v>1619863872</v>
      </c>
      <c r="L4" s="278">
        <f t="shared" si="1"/>
        <v>0</v>
      </c>
      <c r="M4" s="278">
        <f t="shared" si="1"/>
        <v>0</v>
      </c>
      <c r="N4" s="278">
        <f t="shared" si="1"/>
        <v>1619863872</v>
      </c>
      <c r="O4" s="278">
        <f t="shared" si="1"/>
        <v>1618210326</v>
      </c>
      <c r="P4" s="278">
        <f t="shared" si="1"/>
        <v>0</v>
      </c>
      <c r="Q4" s="278">
        <f t="shared" si="1"/>
        <v>0</v>
      </c>
      <c r="R4" s="278">
        <f t="shared" si="1"/>
        <v>1618210326</v>
      </c>
      <c r="S4" s="278">
        <f t="shared" si="1"/>
        <v>1618210326</v>
      </c>
      <c r="T4" s="278">
        <f t="shared" si="1"/>
        <v>0</v>
      </c>
      <c r="U4" s="278">
        <f t="shared" si="1"/>
        <v>0</v>
      </c>
      <c r="V4" s="278">
        <f t="shared" si="1"/>
        <v>1618210326</v>
      </c>
      <c r="X4" s="224"/>
      <c r="Y4" s="221"/>
    </row>
    <row r="5" spans="1:27" ht="14.25" hidden="1" customHeight="1" outlineLevel="1" x14ac:dyDescent="0.25">
      <c r="A5" s="228">
        <v>242101010001</v>
      </c>
      <c r="B5" s="229" t="s">
        <v>141</v>
      </c>
      <c r="C5" s="250">
        <v>2041785270</v>
      </c>
      <c r="D5" s="250">
        <v>18234322554</v>
      </c>
      <c r="E5" s="250">
        <v>0</v>
      </c>
      <c r="F5" s="279">
        <f t="shared" ref="F5:F11" si="2">SUM(C5:E5)</f>
        <v>20276107824</v>
      </c>
      <c r="G5" s="280">
        <v>1617521390</v>
      </c>
      <c r="H5" s="280">
        <v>0</v>
      </c>
      <c r="I5" s="280">
        <v>0</v>
      </c>
      <c r="J5" s="279">
        <f>SUM(G5:I5)</f>
        <v>1617521390</v>
      </c>
      <c r="K5" s="280">
        <v>1617521390</v>
      </c>
      <c r="L5" s="280">
        <v>0</v>
      </c>
      <c r="M5" s="280">
        <v>0</v>
      </c>
      <c r="N5" s="279">
        <f t="shared" ref="N5:N42" si="3">SUM(K5:M5)</f>
        <v>1617521390</v>
      </c>
      <c r="O5" s="280">
        <v>1616910326</v>
      </c>
      <c r="P5" s="280">
        <v>0</v>
      </c>
      <c r="Q5" s="280">
        <v>0</v>
      </c>
      <c r="R5" s="279">
        <f t="shared" ref="R5:R11" si="4">SUM(O5:Q5)</f>
        <v>1616910326</v>
      </c>
      <c r="S5" s="280">
        <v>1616910326</v>
      </c>
      <c r="T5" s="280">
        <v>0</v>
      </c>
      <c r="U5" s="280">
        <v>0</v>
      </c>
      <c r="V5" s="279">
        <f t="shared" ref="V5:V11" si="5">SUM(S5:U5)</f>
        <v>1616910326</v>
      </c>
      <c r="W5" s="230"/>
      <c r="X5" s="231"/>
      <c r="Y5" s="225"/>
      <c r="AA5" s="230"/>
    </row>
    <row r="6" spans="1:27" ht="15" hidden="1" customHeight="1" outlineLevel="1" x14ac:dyDescent="0.25">
      <c r="A6" s="228">
        <v>242101010002</v>
      </c>
      <c r="B6" s="229" t="s">
        <v>142</v>
      </c>
      <c r="C6" s="250">
        <v>8288189</v>
      </c>
      <c r="D6" s="250">
        <v>0</v>
      </c>
      <c r="E6" s="250">
        <v>0</v>
      </c>
      <c r="F6" s="279">
        <f t="shared" si="2"/>
        <v>8288189</v>
      </c>
      <c r="G6" s="280">
        <v>757477</v>
      </c>
      <c r="H6" s="280">
        <v>0</v>
      </c>
      <c r="I6" s="280">
        <v>0</v>
      </c>
      <c r="J6" s="279">
        <f t="shared" ref="J6:J11" si="6">SUM(G6:I6)</f>
        <v>757477</v>
      </c>
      <c r="K6" s="280">
        <v>757477</v>
      </c>
      <c r="L6" s="280">
        <v>0</v>
      </c>
      <c r="M6" s="280">
        <v>0</v>
      </c>
      <c r="N6" s="279">
        <f t="shared" si="3"/>
        <v>757477</v>
      </c>
      <c r="O6" s="280">
        <v>0</v>
      </c>
      <c r="P6" s="280">
        <v>0</v>
      </c>
      <c r="Q6" s="280">
        <v>0</v>
      </c>
      <c r="R6" s="279">
        <f t="shared" si="4"/>
        <v>0</v>
      </c>
      <c r="S6" s="280">
        <v>0</v>
      </c>
      <c r="T6" s="280">
        <v>0</v>
      </c>
      <c r="U6" s="280">
        <v>0</v>
      </c>
      <c r="V6" s="279">
        <f t="shared" si="5"/>
        <v>0</v>
      </c>
      <c r="W6" s="230"/>
      <c r="X6" s="231"/>
      <c r="Y6" s="225"/>
      <c r="AA6" s="230"/>
    </row>
    <row r="7" spans="1:27" ht="15" hidden="1" customHeight="1" outlineLevel="1" x14ac:dyDescent="0.25">
      <c r="A7" s="228">
        <v>242101010003</v>
      </c>
      <c r="B7" s="229" t="s">
        <v>143</v>
      </c>
      <c r="C7" s="250">
        <v>29412516</v>
      </c>
      <c r="D7" s="250">
        <v>0</v>
      </c>
      <c r="E7" s="250">
        <v>0</v>
      </c>
      <c r="F7" s="279">
        <f t="shared" si="2"/>
        <v>29412516</v>
      </c>
      <c r="G7" s="280">
        <v>285005</v>
      </c>
      <c r="H7" s="280">
        <v>0</v>
      </c>
      <c r="I7" s="280">
        <v>0</v>
      </c>
      <c r="J7" s="279">
        <f t="shared" si="6"/>
        <v>285005</v>
      </c>
      <c r="K7" s="280">
        <v>285005</v>
      </c>
      <c r="L7" s="280">
        <v>0</v>
      </c>
      <c r="M7" s="280">
        <v>0</v>
      </c>
      <c r="N7" s="279">
        <f t="shared" si="3"/>
        <v>285005</v>
      </c>
      <c r="O7" s="280">
        <v>0</v>
      </c>
      <c r="P7" s="280">
        <v>0</v>
      </c>
      <c r="Q7" s="280">
        <v>0</v>
      </c>
      <c r="R7" s="279">
        <f t="shared" si="4"/>
        <v>0</v>
      </c>
      <c r="S7" s="280">
        <v>0</v>
      </c>
      <c r="T7" s="280">
        <v>0</v>
      </c>
      <c r="U7" s="280">
        <v>0</v>
      </c>
      <c r="V7" s="279">
        <f t="shared" si="5"/>
        <v>0</v>
      </c>
      <c r="W7" s="230"/>
      <c r="X7" s="231"/>
      <c r="Y7" s="225"/>
      <c r="AA7" s="230"/>
    </row>
    <row r="8" spans="1:27" ht="15" hidden="1" customHeight="1" outlineLevel="1" x14ac:dyDescent="0.25">
      <c r="A8" s="228">
        <v>242101010004</v>
      </c>
      <c r="B8" s="229" t="s">
        <v>144</v>
      </c>
      <c r="C8" s="250">
        <v>90000000</v>
      </c>
      <c r="D8" s="250">
        <v>0</v>
      </c>
      <c r="E8" s="250">
        <v>0</v>
      </c>
      <c r="F8" s="279">
        <f t="shared" si="2"/>
        <v>90000000</v>
      </c>
      <c r="G8" s="280">
        <v>0</v>
      </c>
      <c r="H8" s="280">
        <v>0</v>
      </c>
      <c r="I8" s="280">
        <v>0</v>
      </c>
      <c r="J8" s="279">
        <f t="shared" si="6"/>
        <v>0</v>
      </c>
      <c r="K8" s="280">
        <v>0</v>
      </c>
      <c r="L8" s="280">
        <v>0</v>
      </c>
      <c r="M8" s="280">
        <v>0</v>
      </c>
      <c r="N8" s="279">
        <f t="shared" si="3"/>
        <v>0</v>
      </c>
      <c r="O8" s="280">
        <v>0</v>
      </c>
      <c r="P8" s="280">
        <v>0</v>
      </c>
      <c r="Q8" s="280">
        <v>0</v>
      </c>
      <c r="R8" s="279">
        <f t="shared" si="4"/>
        <v>0</v>
      </c>
      <c r="S8" s="280">
        <v>0</v>
      </c>
      <c r="T8" s="280">
        <v>0</v>
      </c>
      <c r="U8" s="280">
        <v>0</v>
      </c>
      <c r="V8" s="279">
        <f t="shared" si="5"/>
        <v>0</v>
      </c>
      <c r="W8" s="230"/>
      <c r="X8" s="231"/>
      <c r="Y8" s="225"/>
      <c r="AA8" s="230"/>
    </row>
    <row r="9" spans="1:27" ht="15" hidden="1" customHeight="1" outlineLevel="1" x14ac:dyDescent="0.25">
      <c r="A9" s="228">
        <v>242101010005</v>
      </c>
      <c r="B9" s="229" t="s">
        <v>145</v>
      </c>
      <c r="C9" s="250">
        <v>3627609888</v>
      </c>
      <c r="D9" s="250">
        <v>0</v>
      </c>
      <c r="E9" s="250">
        <v>0</v>
      </c>
      <c r="F9" s="279">
        <f>SUM(C9:E9)</f>
        <v>3627609888</v>
      </c>
      <c r="G9" s="280">
        <v>3627609888</v>
      </c>
      <c r="H9" s="280">
        <v>0</v>
      </c>
      <c r="I9" s="280">
        <v>0</v>
      </c>
      <c r="J9" s="279">
        <f t="shared" si="6"/>
        <v>3627609888</v>
      </c>
      <c r="K9" s="280">
        <v>0</v>
      </c>
      <c r="L9" s="280">
        <v>0</v>
      </c>
      <c r="M9" s="280">
        <v>0</v>
      </c>
      <c r="N9" s="279">
        <f t="shared" si="3"/>
        <v>0</v>
      </c>
      <c r="O9" s="280">
        <v>0</v>
      </c>
      <c r="P9" s="280">
        <v>0</v>
      </c>
      <c r="Q9" s="280">
        <v>0</v>
      </c>
      <c r="R9" s="279">
        <f t="shared" si="4"/>
        <v>0</v>
      </c>
      <c r="S9" s="280">
        <v>0</v>
      </c>
      <c r="T9" s="280">
        <v>0</v>
      </c>
      <c r="U9" s="280">
        <v>0</v>
      </c>
      <c r="V9" s="279">
        <f t="shared" si="5"/>
        <v>0</v>
      </c>
      <c r="W9" s="230"/>
      <c r="X9" s="231"/>
      <c r="Y9" s="225"/>
      <c r="AA9" s="230"/>
    </row>
    <row r="10" spans="1:27" ht="15" hidden="1" customHeight="1" outlineLevel="1" x14ac:dyDescent="0.25">
      <c r="A10" s="228">
        <v>242101010006</v>
      </c>
      <c r="B10" s="229" t="s">
        <v>146</v>
      </c>
      <c r="C10" s="250">
        <v>87999999.995999992</v>
      </c>
      <c r="D10" s="250">
        <v>0</v>
      </c>
      <c r="E10" s="250">
        <v>0</v>
      </c>
      <c r="F10" s="279">
        <f t="shared" si="2"/>
        <v>87999999.995999992</v>
      </c>
      <c r="G10" s="280">
        <v>0</v>
      </c>
      <c r="H10" s="280">
        <v>0</v>
      </c>
      <c r="I10" s="280">
        <v>0</v>
      </c>
      <c r="J10" s="279">
        <f t="shared" si="6"/>
        <v>0</v>
      </c>
      <c r="K10" s="280">
        <v>0</v>
      </c>
      <c r="L10" s="280">
        <v>0</v>
      </c>
      <c r="M10" s="280">
        <v>0</v>
      </c>
      <c r="N10" s="279">
        <f t="shared" si="3"/>
        <v>0</v>
      </c>
      <c r="O10" s="280">
        <v>0</v>
      </c>
      <c r="P10" s="280">
        <v>0</v>
      </c>
      <c r="Q10" s="280">
        <v>0</v>
      </c>
      <c r="R10" s="279">
        <f t="shared" si="4"/>
        <v>0</v>
      </c>
      <c r="S10" s="280">
        <v>0</v>
      </c>
      <c r="T10" s="280">
        <v>0</v>
      </c>
      <c r="U10" s="280">
        <v>0</v>
      </c>
      <c r="V10" s="279">
        <f t="shared" si="5"/>
        <v>0</v>
      </c>
      <c r="W10" s="230"/>
      <c r="X10" s="231"/>
      <c r="Y10" s="225"/>
      <c r="AA10" s="230"/>
    </row>
    <row r="11" spans="1:27" ht="15" hidden="1" customHeight="1" outlineLevel="1" x14ac:dyDescent="0.25">
      <c r="A11" s="228">
        <v>242101010007</v>
      </c>
      <c r="B11" s="229" t="s">
        <v>147</v>
      </c>
      <c r="C11" s="250">
        <v>156000000</v>
      </c>
      <c r="D11" s="250">
        <v>0</v>
      </c>
      <c r="E11" s="250">
        <v>0</v>
      </c>
      <c r="F11" s="279">
        <f t="shared" si="2"/>
        <v>156000000</v>
      </c>
      <c r="G11" s="280">
        <v>1300000</v>
      </c>
      <c r="H11" s="280">
        <v>0</v>
      </c>
      <c r="I11" s="280">
        <v>0</v>
      </c>
      <c r="J11" s="279">
        <f t="shared" si="6"/>
        <v>1300000</v>
      </c>
      <c r="K11" s="280">
        <v>1300000</v>
      </c>
      <c r="L11" s="280">
        <v>0</v>
      </c>
      <c r="M11" s="280">
        <v>0</v>
      </c>
      <c r="N11" s="279">
        <f t="shared" si="3"/>
        <v>1300000</v>
      </c>
      <c r="O11" s="280">
        <v>1300000</v>
      </c>
      <c r="P11" s="280">
        <v>0</v>
      </c>
      <c r="Q11" s="280">
        <v>0</v>
      </c>
      <c r="R11" s="279">
        <f t="shared" si="4"/>
        <v>1300000</v>
      </c>
      <c r="S11" s="280">
        <v>1300000</v>
      </c>
      <c r="T11" s="280">
        <v>0</v>
      </c>
      <c r="U11" s="280">
        <v>0</v>
      </c>
      <c r="V11" s="279">
        <f t="shared" si="5"/>
        <v>1300000</v>
      </c>
      <c r="W11" s="230"/>
      <c r="X11" s="231"/>
      <c r="Y11" s="225"/>
      <c r="AA11" s="230"/>
    </row>
    <row r="12" spans="1:27" s="232" customFormat="1" ht="21.75" customHeight="1" collapsed="1" x14ac:dyDescent="0.25">
      <c r="A12" s="222"/>
      <c r="B12" s="222" t="s">
        <v>104</v>
      </c>
      <c r="C12" s="251">
        <f t="shared" ref="C12:V12" si="7">SUM(C13:C42)</f>
        <v>9059388370</v>
      </c>
      <c r="D12" s="251">
        <f t="shared" si="7"/>
        <v>16776925676</v>
      </c>
      <c r="E12" s="251">
        <f t="shared" si="7"/>
        <v>419248813</v>
      </c>
      <c r="F12" s="281">
        <f t="shared" si="7"/>
        <v>26255562859</v>
      </c>
      <c r="G12" s="281">
        <f t="shared" si="7"/>
        <v>2731672117.7600002</v>
      </c>
      <c r="H12" s="281">
        <f t="shared" si="7"/>
        <v>849150</v>
      </c>
      <c r="I12" s="281">
        <f t="shared" si="7"/>
        <v>73163775</v>
      </c>
      <c r="J12" s="281">
        <f t="shared" si="7"/>
        <v>2805685042.7600002</v>
      </c>
      <c r="K12" s="281">
        <f t="shared" si="7"/>
        <v>119925840.75999999</v>
      </c>
      <c r="L12" s="281">
        <f t="shared" si="7"/>
        <v>849150</v>
      </c>
      <c r="M12" s="281">
        <f t="shared" si="7"/>
        <v>73163775</v>
      </c>
      <c r="N12" s="281">
        <f t="shared" si="7"/>
        <v>193938765.75999999</v>
      </c>
      <c r="O12" s="281">
        <f t="shared" si="7"/>
        <v>95140287.75999999</v>
      </c>
      <c r="P12" s="281">
        <f t="shared" si="7"/>
        <v>0</v>
      </c>
      <c r="Q12" s="281">
        <f t="shared" si="7"/>
        <v>73163775</v>
      </c>
      <c r="R12" s="281">
        <f t="shared" si="7"/>
        <v>168304062.75999999</v>
      </c>
      <c r="S12" s="281">
        <f t="shared" si="7"/>
        <v>95140287.75999999</v>
      </c>
      <c r="T12" s="281">
        <f t="shared" si="7"/>
        <v>0</v>
      </c>
      <c r="U12" s="281">
        <f t="shared" si="7"/>
        <v>73163775</v>
      </c>
      <c r="V12" s="281">
        <f t="shared" si="7"/>
        <v>168304062.75999999</v>
      </c>
      <c r="W12" s="227"/>
      <c r="X12" s="224"/>
      <c r="Y12" s="225"/>
      <c r="AA12" s="227"/>
    </row>
    <row r="13" spans="1:27" ht="15" hidden="1" customHeight="1" outlineLevel="1" x14ac:dyDescent="0.25">
      <c r="A13" s="228">
        <v>242102010001</v>
      </c>
      <c r="B13" s="229" t="s">
        <v>148</v>
      </c>
      <c r="C13" s="250">
        <v>1005372</v>
      </c>
      <c r="D13" s="250">
        <v>0</v>
      </c>
      <c r="E13" s="250">
        <v>0</v>
      </c>
      <c r="F13" s="279">
        <f t="shared" ref="F13:F38" si="8">SUM(C13:E13)</f>
        <v>1005372</v>
      </c>
      <c r="G13" s="280">
        <v>0</v>
      </c>
      <c r="H13" s="280">
        <v>0</v>
      </c>
      <c r="I13" s="280">
        <v>0</v>
      </c>
      <c r="J13" s="279">
        <f t="shared" ref="J13:J42" si="9">SUM(G13:I13)</f>
        <v>0</v>
      </c>
      <c r="K13" s="280">
        <v>0</v>
      </c>
      <c r="L13" s="280">
        <v>0</v>
      </c>
      <c r="M13" s="280">
        <v>0</v>
      </c>
      <c r="N13" s="279">
        <f t="shared" si="3"/>
        <v>0</v>
      </c>
      <c r="O13" s="280">
        <v>0</v>
      </c>
      <c r="P13" s="280">
        <v>0</v>
      </c>
      <c r="Q13" s="280">
        <v>0</v>
      </c>
      <c r="R13" s="279">
        <f t="shared" ref="R13:R42" si="10">SUM(O13:Q13)</f>
        <v>0</v>
      </c>
      <c r="S13" s="280">
        <v>0</v>
      </c>
      <c r="T13" s="280">
        <v>0</v>
      </c>
      <c r="U13" s="280">
        <v>0</v>
      </c>
      <c r="V13" s="279">
        <f t="shared" ref="V13:V42" si="11">SUM(S13:U13)</f>
        <v>0</v>
      </c>
      <c r="W13" s="227"/>
      <c r="X13" s="224"/>
      <c r="Y13" s="225"/>
      <c r="AA13" s="227"/>
    </row>
    <row r="14" spans="1:27" s="233" customFormat="1" ht="15" hidden="1" customHeight="1" outlineLevel="1" x14ac:dyDescent="0.25">
      <c r="A14" s="228">
        <v>242102010002</v>
      </c>
      <c r="B14" s="229" t="s">
        <v>149</v>
      </c>
      <c r="C14" s="250">
        <v>23604480</v>
      </c>
      <c r="D14" s="250">
        <v>0</v>
      </c>
      <c r="E14" s="250">
        <v>0</v>
      </c>
      <c r="F14" s="279">
        <f t="shared" si="8"/>
        <v>23604480</v>
      </c>
      <c r="G14" s="280">
        <v>0</v>
      </c>
      <c r="H14" s="280">
        <v>0</v>
      </c>
      <c r="I14" s="280">
        <v>0</v>
      </c>
      <c r="J14" s="279">
        <f t="shared" si="9"/>
        <v>0</v>
      </c>
      <c r="K14" s="280">
        <v>0</v>
      </c>
      <c r="L14" s="280">
        <v>0</v>
      </c>
      <c r="M14" s="280">
        <v>0</v>
      </c>
      <c r="N14" s="279">
        <f t="shared" si="3"/>
        <v>0</v>
      </c>
      <c r="O14" s="280">
        <v>0</v>
      </c>
      <c r="P14" s="280">
        <v>0</v>
      </c>
      <c r="Q14" s="280">
        <v>0</v>
      </c>
      <c r="R14" s="279">
        <f t="shared" si="10"/>
        <v>0</v>
      </c>
      <c r="S14" s="280">
        <v>0</v>
      </c>
      <c r="T14" s="280">
        <v>0</v>
      </c>
      <c r="U14" s="280">
        <v>0</v>
      </c>
      <c r="V14" s="279">
        <f t="shared" si="11"/>
        <v>0</v>
      </c>
      <c r="W14" s="227"/>
      <c r="X14" s="224"/>
      <c r="Y14" s="225"/>
      <c r="AA14" s="227"/>
    </row>
    <row r="15" spans="1:27" ht="15" hidden="1" customHeight="1" outlineLevel="1" x14ac:dyDescent="0.25">
      <c r="A15" s="228">
        <v>242102010003</v>
      </c>
      <c r="B15" s="229" t="s">
        <v>150</v>
      </c>
      <c r="C15" s="250">
        <v>129600000</v>
      </c>
      <c r="D15" s="250">
        <v>0</v>
      </c>
      <c r="E15" s="250">
        <v>0</v>
      </c>
      <c r="F15" s="279">
        <f t="shared" si="8"/>
        <v>129600000</v>
      </c>
      <c r="G15" s="280">
        <v>0</v>
      </c>
      <c r="H15" s="280">
        <v>0</v>
      </c>
      <c r="I15" s="280">
        <v>0</v>
      </c>
      <c r="J15" s="279">
        <f t="shared" si="9"/>
        <v>0</v>
      </c>
      <c r="K15" s="280">
        <v>0</v>
      </c>
      <c r="L15" s="280">
        <v>0</v>
      </c>
      <c r="M15" s="280">
        <v>0</v>
      </c>
      <c r="N15" s="279">
        <f t="shared" si="3"/>
        <v>0</v>
      </c>
      <c r="O15" s="280">
        <v>0</v>
      </c>
      <c r="P15" s="280">
        <v>0</v>
      </c>
      <c r="Q15" s="280">
        <v>0</v>
      </c>
      <c r="R15" s="279">
        <f t="shared" si="10"/>
        <v>0</v>
      </c>
      <c r="S15" s="280">
        <v>0</v>
      </c>
      <c r="T15" s="280">
        <v>0</v>
      </c>
      <c r="U15" s="280">
        <v>0</v>
      </c>
      <c r="V15" s="279">
        <f t="shared" si="11"/>
        <v>0</v>
      </c>
      <c r="W15" s="227"/>
      <c r="X15" s="224"/>
      <c r="Y15" s="225"/>
      <c r="AA15" s="227"/>
    </row>
    <row r="16" spans="1:27" s="230" customFormat="1" ht="15" hidden="1" customHeight="1" outlineLevel="1" x14ac:dyDescent="0.25">
      <c r="A16" s="228">
        <v>242102010004</v>
      </c>
      <c r="B16" s="229" t="s">
        <v>151</v>
      </c>
      <c r="C16" s="250">
        <v>350000004</v>
      </c>
      <c r="D16" s="250">
        <v>0</v>
      </c>
      <c r="E16" s="250">
        <v>0</v>
      </c>
      <c r="F16" s="279">
        <f t="shared" si="8"/>
        <v>350000004</v>
      </c>
      <c r="G16" s="280">
        <v>330000000</v>
      </c>
      <c r="H16" s="280">
        <v>0</v>
      </c>
      <c r="I16" s="280">
        <v>0</v>
      </c>
      <c r="J16" s="279">
        <f t="shared" si="9"/>
        <v>330000000</v>
      </c>
      <c r="K16" s="280">
        <v>0</v>
      </c>
      <c r="L16" s="280">
        <v>0</v>
      </c>
      <c r="M16" s="280">
        <v>0</v>
      </c>
      <c r="N16" s="279">
        <f t="shared" si="3"/>
        <v>0</v>
      </c>
      <c r="O16" s="280">
        <v>0</v>
      </c>
      <c r="P16" s="280">
        <v>0</v>
      </c>
      <c r="Q16" s="280">
        <v>0</v>
      </c>
      <c r="R16" s="279">
        <f t="shared" si="10"/>
        <v>0</v>
      </c>
      <c r="S16" s="280">
        <v>0</v>
      </c>
      <c r="T16" s="280">
        <v>0</v>
      </c>
      <c r="U16" s="280">
        <v>0</v>
      </c>
      <c r="V16" s="279">
        <f t="shared" si="11"/>
        <v>0</v>
      </c>
      <c r="W16" s="227"/>
      <c r="X16" s="224"/>
      <c r="Y16" s="225"/>
      <c r="AA16" s="227"/>
    </row>
    <row r="17" spans="1:27" ht="15" hidden="1" customHeight="1" outlineLevel="1" x14ac:dyDescent="0.25">
      <c r="A17" s="228">
        <v>242102010005</v>
      </c>
      <c r="B17" s="229" t="s">
        <v>152</v>
      </c>
      <c r="C17" s="250">
        <v>104908800</v>
      </c>
      <c r="D17" s="250">
        <v>0</v>
      </c>
      <c r="E17" s="250">
        <v>0</v>
      </c>
      <c r="F17" s="279">
        <f t="shared" si="8"/>
        <v>104908800</v>
      </c>
      <c r="G17" s="280">
        <v>8879480</v>
      </c>
      <c r="H17" s="280">
        <v>0</v>
      </c>
      <c r="I17" s="280">
        <v>0</v>
      </c>
      <c r="J17" s="279">
        <f t="shared" si="9"/>
        <v>8879480</v>
      </c>
      <c r="K17" s="280">
        <v>8879480</v>
      </c>
      <c r="L17" s="280">
        <v>0</v>
      </c>
      <c r="M17" s="280">
        <v>0</v>
      </c>
      <c r="N17" s="279">
        <f t="shared" si="3"/>
        <v>8879480</v>
      </c>
      <c r="O17" s="280">
        <v>8879480</v>
      </c>
      <c r="P17" s="280">
        <v>0</v>
      </c>
      <c r="Q17" s="280">
        <v>0</v>
      </c>
      <c r="R17" s="279">
        <f t="shared" si="10"/>
        <v>8879480</v>
      </c>
      <c r="S17" s="280">
        <v>8879480</v>
      </c>
      <c r="T17" s="280">
        <v>0</v>
      </c>
      <c r="U17" s="280">
        <v>0</v>
      </c>
      <c r="V17" s="279">
        <f t="shared" si="11"/>
        <v>8879480</v>
      </c>
      <c r="W17" s="227"/>
      <c r="X17" s="224"/>
      <c r="Y17" s="225"/>
      <c r="AA17" s="227"/>
    </row>
    <row r="18" spans="1:27" ht="15" hidden="1" customHeight="1" outlineLevel="1" x14ac:dyDescent="0.25">
      <c r="A18" s="228">
        <v>242102010006</v>
      </c>
      <c r="B18" s="229" t="s">
        <v>153</v>
      </c>
      <c r="C18" s="250">
        <v>60506300</v>
      </c>
      <c r="D18" s="250">
        <v>0</v>
      </c>
      <c r="E18" s="250">
        <v>0</v>
      </c>
      <c r="F18" s="279">
        <f t="shared" si="8"/>
        <v>60506300</v>
      </c>
      <c r="G18" s="280">
        <v>2758465</v>
      </c>
      <c r="H18" s="280">
        <v>0</v>
      </c>
      <c r="I18" s="280">
        <v>0</v>
      </c>
      <c r="J18" s="279">
        <f t="shared" si="9"/>
        <v>2758465</v>
      </c>
      <c r="K18" s="280">
        <v>2758465</v>
      </c>
      <c r="L18" s="280">
        <v>0</v>
      </c>
      <c r="M18" s="280">
        <v>0</v>
      </c>
      <c r="N18" s="279">
        <f>SUM(K18:M18)</f>
        <v>2758465</v>
      </c>
      <c r="O18" s="280">
        <v>2758465</v>
      </c>
      <c r="P18" s="280">
        <v>0</v>
      </c>
      <c r="Q18" s="280">
        <v>0</v>
      </c>
      <c r="R18" s="279">
        <f t="shared" si="10"/>
        <v>2758465</v>
      </c>
      <c r="S18" s="280">
        <v>2758465</v>
      </c>
      <c r="T18" s="280">
        <v>0</v>
      </c>
      <c r="U18" s="280">
        <v>0</v>
      </c>
      <c r="V18" s="279">
        <f t="shared" si="11"/>
        <v>2758465</v>
      </c>
      <c r="W18" s="227"/>
      <c r="X18" s="224"/>
      <c r="Y18" s="225"/>
      <c r="AA18" s="227"/>
    </row>
    <row r="19" spans="1:27" ht="15" hidden="1" customHeight="1" outlineLevel="1" x14ac:dyDescent="0.25">
      <c r="A19" s="228">
        <v>242102010007</v>
      </c>
      <c r="B19" s="229" t="s">
        <v>154</v>
      </c>
      <c r="C19" s="250">
        <v>230400000</v>
      </c>
      <c r="D19" s="250">
        <v>0</v>
      </c>
      <c r="E19" s="250">
        <v>0</v>
      </c>
      <c r="F19" s="279">
        <f t="shared" si="8"/>
        <v>230400000</v>
      </c>
      <c r="G19" s="280">
        <v>0</v>
      </c>
      <c r="H19" s="280">
        <v>0</v>
      </c>
      <c r="I19" s="280">
        <v>0</v>
      </c>
      <c r="J19" s="279">
        <f t="shared" si="9"/>
        <v>0</v>
      </c>
      <c r="K19" s="280">
        <v>0</v>
      </c>
      <c r="L19" s="280">
        <v>0</v>
      </c>
      <c r="M19" s="280">
        <v>0</v>
      </c>
      <c r="N19" s="279">
        <f t="shared" si="3"/>
        <v>0</v>
      </c>
      <c r="O19" s="280">
        <v>0</v>
      </c>
      <c r="P19" s="280">
        <v>0</v>
      </c>
      <c r="Q19" s="280">
        <v>0</v>
      </c>
      <c r="R19" s="279">
        <f t="shared" si="10"/>
        <v>0</v>
      </c>
      <c r="S19" s="280">
        <v>0</v>
      </c>
      <c r="T19" s="280">
        <v>0</v>
      </c>
      <c r="U19" s="280">
        <v>0</v>
      </c>
      <c r="V19" s="279">
        <f t="shared" si="11"/>
        <v>0</v>
      </c>
      <c r="W19" s="227"/>
      <c r="X19" s="224"/>
      <c r="Y19" s="225"/>
      <c r="AA19" s="227"/>
    </row>
    <row r="20" spans="1:27" ht="15" hidden="1" customHeight="1" outlineLevel="1" x14ac:dyDescent="0.25">
      <c r="A20" s="228">
        <v>242102010008</v>
      </c>
      <c r="B20" s="229" t="s">
        <v>155</v>
      </c>
      <c r="C20" s="250">
        <v>514389662</v>
      </c>
      <c r="D20" s="250">
        <v>0</v>
      </c>
      <c r="E20" s="250">
        <v>0</v>
      </c>
      <c r="F20" s="279">
        <f t="shared" si="8"/>
        <v>514389662</v>
      </c>
      <c r="G20" s="280">
        <v>452283528</v>
      </c>
      <c r="H20" s="280">
        <v>0</v>
      </c>
      <c r="I20" s="280">
        <v>0</v>
      </c>
      <c r="J20" s="279">
        <f t="shared" si="9"/>
        <v>452283528</v>
      </c>
      <c r="K20" s="280">
        <v>3483528</v>
      </c>
      <c r="L20" s="280">
        <v>0</v>
      </c>
      <c r="M20" s="280">
        <v>0</v>
      </c>
      <c r="N20" s="279">
        <f t="shared" si="3"/>
        <v>3483528</v>
      </c>
      <c r="O20" s="280">
        <v>0</v>
      </c>
      <c r="P20" s="280">
        <v>0</v>
      </c>
      <c r="Q20" s="280">
        <v>0</v>
      </c>
      <c r="R20" s="279">
        <f t="shared" si="10"/>
        <v>0</v>
      </c>
      <c r="S20" s="280">
        <v>0</v>
      </c>
      <c r="T20" s="280">
        <v>0</v>
      </c>
      <c r="U20" s="280">
        <v>0</v>
      </c>
      <c r="V20" s="279">
        <f t="shared" si="11"/>
        <v>0</v>
      </c>
      <c r="W20" s="227"/>
      <c r="X20" s="224"/>
      <c r="Y20" s="225"/>
      <c r="AA20" s="227"/>
    </row>
    <row r="21" spans="1:27" ht="15" hidden="1" customHeight="1" outlineLevel="1" x14ac:dyDescent="0.25">
      <c r="A21" s="228">
        <v>242102010009</v>
      </c>
      <c r="B21" s="229" t="s">
        <v>156</v>
      </c>
      <c r="C21" s="250">
        <v>23599062</v>
      </c>
      <c r="D21" s="250">
        <v>0</v>
      </c>
      <c r="E21" s="250">
        <v>0</v>
      </c>
      <c r="F21" s="279">
        <f t="shared" si="8"/>
        <v>23599062</v>
      </c>
      <c r="G21" s="280">
        <v>0</v>
      </c>
      <c r="H21" s="280">
        <v>0</v>
      </c>
      <c r="I21" s="280">
        <v>0</v>
      </c>
      <c r="J21" s="279">
        <f t="shared" si="9"/>
        <v>0</v>
      </c>
      <c r="K21" s="280">
        <v>0</v>
      </c>
      <c r="L21" s="280">
        <v>0</v>
      </c>
      <c r="M21" s="280">
        <v>0</v>
      </c>
      <c r="N21" s="279">
        <f t="shared" si="3"/>
        <v>0</v>
      </c>
      <c r="O21" s="280">
        <v>0</v>
      </c>
      <c r="P21" s="280">
        <v>0</v>
      </c>
      <c r="Q21" s="280">
        <v>0</v>
      </c>
      <c r="R21" s="279">
        <f t="shared" si="10"/>
        <v>0</v>
      </c>
      <c r="S21" s="280">
        <v>0</v>
      </c>
      <c r="T21" s="280">
        <v>0</v>
      </c>
      <c r="U21" s="280">
        <v>0</v>
      </c>
      <c r="V21" s="279">
        <f t="shared" si="11"/>
        <v>0</v>
      </c>
      <c r="W21" s="227"/>
      <c r="X21" s="224"/>
      <c r="Y21" s="225"/>
      <c r="AA21" s="227"/>
    </row>
    <row r="22" spans="1:27" ht="16.5" hidden="1" customHeight="1" outlineLevel="1" x14ac:dyDescent="0.25">
      <c r="A22" s="228">
        <v>242102010010</v>
      </c>
      <c r="B22" s="229" t="s">
        <v>157</v>
      </c>
      <c r="C22" s="250">
        <v>1980302472</v>
      </c>
      <c r="D22" s="250">
        <v>0</v>
      </c>
      <c r="E22" s="250">
        <v>0</v>
      </c>
      <c r="F22" s="279">
        <f t="shared" si="8"/>
        <v>1980302472</v>
      </c>
      <c r="G22" s="280">
        <v>1171227895</v>
      </c>
      <c r="H22" s="280">
        <v>0</v>
      </c>
      <c r="I22" s="280">
        <v>0</v>
      </c>
      <c r="J22" s="279">
        <f t="shared" si="9"/>
        <v>1171227895</v>
      </c>
      <c r="K22" s="280">
        <v>45645025</v>
      </c>
      <c r="L22" s="280">
        <v>0</v>
      </c>
      <c r="M22" s="280">
        <v>0</v>
      </c>
      <c r="N22" s="279">
        <f t="shared" si="3"/>
        <v>45645025</v>
      </c>
      <c r="O22" s="280">
        <v>24343000</v>
      </c>
      <c r="P22" s="280">
        <v>0</v>
      </c>
      <c r="Q22" s="280">
        <v>0</v>
      </c>
      <c r="R22" s="279">
        <f t="shared" si="10"/>
        <v>24343000</v>
      </c>
      <c r="S22" s="280">
        <v>24343000</v>
      </c>
      <c r="T22" s="280">
        <v>0</v>
      </c>
      <c r="U22" s="280">
        <v>0</v>
      </c>
      <c r="V22" s="279">
        <f t="shared" si="11"/>
        <v>24343000</v>
      </c>
      <c r="W22" s="227"/>
      <c r="X22" s="224"/>
      <c r="Y22" s="225"/>
      <c r="AA22" s="227"/>
    </row>
    <row r="23" spans="1:27" ht="16.5" hidden="1" customHeight="1" outlineLevel="1" x14ac:dyDescent="0.25">
      <c r="A23" s="228">
        <v>242102010011</v>
      </c>
      <c r="B23" s="229" t="s">
        <v>158</v>
      </c>
      <c r="C23" s="250">
        <v>88516800</v>
      </c>
      <c r="D23" s="250">
        <v>0</v>
      </c>
      <c r="E23" s="250">
        <v>0</v>
      </c>
      <c r="F23" s="279">
        <f t="shared" si="8"/>
        <v>88516800</v>
      </c>
      <c r="G23" s="280">
        <v>0</v>
      </c>
      <c r="H23" s="280">
        <v>0</v>
      </c>
      <c r="I23" s="280">
        <v>0</v>
      </c>
      <c r="J23" s="279">
        <f t="shared" si="9"/>
        <v>0</v>
      </c>
      <c r="K23" s="280">
        <v>0</v>
      </c>
      <c r="L23" s="280">
        <v>0</v>
      </c>
      <c r="M23" s="280">
        <v>0</v>
      </c>
      <c r="N23" s="279">
        <f t="shared" si="3"/>
        <v>0</v>
      </c>
      <c r="O23" s="280"/>
      <c r="P23" s="280"/>
      <c r="Q23" s="280"/>
      <c r="R23" s="279">
        <f t="shared" si="10"/>
        <v>0</v>
      </c>
      <c r="S23" s="280"/>
      <c r="T23" s="280">
        <v>0</v>
      </c>
      <c r="U23" s="280">
        <v>0</v>
      </c>
      <c r="V23" s="279">
        <f t="shared" si="11"/>
        <v>0</v>
      </c>
      <c r="W23" s="227"/>
      <c r="X23" s="224"/>
      <c r="Y23" s="225"/>
      <c r="AA23" s="227"/>
    </row>
    <row r="24" spans="1:27" ht="16.5" hidden="1" customHeight="1" outlineLevel="1" x14ac:dyDescent="0.25">
      <c r="A24" s="228">
        <v>242102010012</v>
      </c>
      <c r="B24" s="229" t="s">
        <v>159</v>
      </c>
      <c r="C24" s="250">
        <v>122012496</v>
      </c>
      <c r="D24" s="250">
        <v>0</v>
      </c>
      <c r="E24" s="250">
        <v>0</v>
      </c>
      <c r="F24" s="279">
        <f t="shared" si="8"/>
        <v>122012496</v>
      </c>
      <c r="G24" s="280">
        <v>2850000</v>
      </c>
      <c r="H24" s="280">
        <v>0</v>
      </c>
      <c r="I24" s="280">
        <v>0</v>
      </c>
      <c r="J24" s="279">
        <f t="shared" si="9"/>
        <v>2850000</v>
      </c>
      <c r="K24" s="280">
        <v>1770000</v>
      </c>
      <c r="L24" s="280">
        <v>0</v>
      </c>
      <c r="M24" s="280">
        <v>0</v>
      </c>
      <c r="N24" s="279">
        <f t="shared" si="3"/>
        <v>1770000</v>
      </c>
      <c r="O24" s="280">
        <v>1770000</v>
      </c>
      <c r="P24" s="280"/>
      <c r="Q24" s="280"/>
      <c r="R24" s="279">
        <f t="shared" si="10"/>
        <v>1770000</v>
      </c>
      <c r="S24" s="280">
        <v>1770000</v>
      </c>
      <c r="T24" s="280">
        <v>0</v>
      </c>
      <c r="U24" s="280">
        <v>0</v>
      </c>
      <c r="V24" s="279">
        <f t="shared" si="11"/>
        <v>1770000</v>
      </c>
      <c r="W24" s="227"/>
      <c r="X24" s="224"/>
      <c r="Y24" s="225"/>
      <c r="AA24" s="227"/>
    </row>
    <row r="25" spans="1:27" ht="16.5" hidden="1" customHeight="1" outlineLevel="1" x14ac:dyDescent="0.25">
      <c r="A25" s="228">
        <v>242102010013</v>
      </c>
      <c r="B25" s="229" t="s">
        <v>160</v>
      </c>
      <c r="C25" s="250">
        <v>19150850</v>
      </c>
      <c r="D25" s="250">
        <v>849150</v>
      </c>
      <c r="E25" s="250">
        <v>0</v>
      </c>
      <c r="F25" s="279">
        <f t="shared" si="8"/>
        <v>20000000</v>
      </c>
      <c r="G25" s="280">
        <v>0</v>
      </c>
      <c r="H25" s="280">
        <v>849150</v>
      </c>
      <c r="I25" s="280">
        <v>0</v>
      </c>
      <c r="J25" s="279">
        <f t="shared" si="9"/>
        <v>849150</v>
      </c>
      <c r="K25" s="280">
        <v>0</v>
      </c>
      <c r="L25" s="280">
        <v>849150</v>
      </c>
      <c r="M25" s="280">
        <v>0</v>
      </c>
      <c r="N25" s="279">
        <f t="shared" si="3"/>
        <v>849150</v>
      </c>
      <c r="O25" s="280"/>
      <c r="P25" s="280"/>
      <c r="Q25" s="280"/>
      <c r="R25" s="279">
        <f t="shared" si="10"/>
        <v>0</v>
      </c>
      <c r="S25" s="280"/>
      <c r="T25" s="280">
        <v>0</v>
      </c>
      <c r="U25" s="280">
        <v>0</v>
      </c>
      <c r="V25" s="279">
        <f t="shared" si="11"/>
        <v>0</v>
      </c>
      <c r="W25" s="227"/>
      <c r="X25" s="224"/>
      <c r="Y25" s="225"/>
      <c r="AA25" s="227"/>
    </row>
    <row r="26" spans="1:27" ht="16.5" hidden="1" customHeight="1" outlineLevel="1" x14ac:dyDescent="0.25">
      <c r="A26" s="228">
        <v>242102010014</v>
      </c>
      <c r="B26" s="229" t="s">
        <v>161</v>
      </c>
      <c r="C26" s="250">
        <v>200000000</v>
      </c>
      <c r="D26" s="250">
        <v>0</v>
      </c>
      <c r="E26" s="250">
        <v>0</v>
      </c>
      <c r="F26" s="279">
        <f t="shared" si="8"/>
        <v>200000000</v>
      </c>
      <c r="G26" s="280">
        <v>0</v>
      </c>
      <c r="H26" s="280">
        <v>0</v>
      </c>
      <c r="I26" s="280">
        <v>0</v>
      </c>
      <c r="J26" s="279">
        <f t="shared" si="9"/>
        <v>0</v>
      </c>
      <c r="K26" s="280">
        <v>0</v>
      </c>
      <c r="L26" s="280">
        <v>0</v>
      </c>
      <c r="M26" s="280">
        <v>0</v>
      </c>
      <c r="N26" s="279">
        <f t="shared" si="3"/>
        <v>0</v>
      </c>
      <c r="O26" s="280"/>
      <c r="P26" s="280"/>
      <c r="Q26" s="280"/>
      <c r="R26" s="279">
        <f t="shared" si="10"/>
        <v>0</v>
      </c>
      <c r="S26" s="280"/>
      <c r="T26" s="280">
        <v>0</v>
      </c>
      <c r="U26" s="280">
        <v>0</v>
      </c>
      <c r="V26" s="279">
        <f t="shared" si="11"/>
        <v>0</v>
      </c>
      <c r="W26" s="227"/>
      <c r="X26" s="224"/>
      <c r="Y26" s="225"/>
      <c r="AA26" s="227"/>
    </row>
    <row r="27" spans="1:27" ht="16.5" hidden="1" customHeight="1" outlineLevel="1" x14ac:dyDescent="0.25">
      <c r="A27" s="228">
        <v>242102010015</v>
      </c>
      <c r="B27" s="229" t="s">
        <v>162</v>
      </c>
      <c r="C27" s="250">
        <v>46435660</v>
      </c>
      <c r="D27" s="250">
        <v>0</v>
      </c>
      <c r="E27" s="250">
        <v>0</v>
      </c>
      <c r="F27" s="279">
        <f t="shared" si="8"/>
        <v>46435660</v>
      </c>
      <c r="G27" s="280">
        <v>0</v>
      </c>
      <c r="H27" s="280">
        <v>0</v>
      </c>
      <c r="I27" s="280">
        <v>0</v>
      </c>
      <c r="J27" s="279">
        <f t="shared" si="9"/>
        <v>0</v>
      </c>
      <c r="K27" s="280">
        <v>0</v>
      </c>
      <c r="L27" s="280">
        <v>0</v>
      </c>
      <c r="M27" s="280">
        <v>0</v>
      </c>
      <c r="N27" s="279">
        <f t="shared" si="3"/>
        <v>0</v>
      </c>
      <c r="O27" s="280"/>
      <c r="P27" s="280"/>
      <c r="Q27" s="280"/>
      <c r="R27" s="279">
        <f t="shared" si="10"/>
        <v>0</v>
      </c>
      <c r="S27" s="280"/>
      <c r="T27" s="280">
        <v>0</v>
      </c>
      <c r="U27" s="280">
        <v>0</v>
      </c>
      <c r="V27" s="279">
        <f t="shared" si="11"/>
        <v>0</v>
      </c>
      <c r="W27" s="227"/>
      <c r="X27" s="224"/>
      <c r="Y27" s="225"/>
      <c r="AA27" s="227"/>
    </row>
    <row r="28" spans="1:27" ht="16.5" hidden="1" customHeight="1" outlineLevel="1" x14ac:dyDescent="0.25">
      <c r="A28" s="228">
        <v>242102010016</v>
      </c>
      <c r="B28" s="229" t="s">
        <v>163</v>
      </c>
      <c r="C28" s="250">
        <v>3167040</v>
      </c>
      <c r="D28" s="250">
        <v>0</v>
      </c>
      <c r="E28" s="250">
        <v>0</v>
      </c>
      <c r="F28" s="279">
        <f t="shared" si="8"/>
        <v>3167040</v>
      </c>
      <c r="G28" s="280">
        <v>0</v>
      </c>
      <c r="H28" s="280">
        <v>0</v>
      </c>
      <c r="I28" s="280">
        <v>0</v>
      </c>
      <c r="J28" s="279">
        <f t="shared" si="9"/>
        <v>0</v>
      </c>
      <c r="K28" s="280">
        <v>0</v>
      </c>
      <c r="L28" s="280">
        <v>0</v>
      </c>
      <c r="M28" s="280">
        <v>0</v>
      </c>
      <c r="N28" s="279">
        <f t="shared" si="3"/>
        <v>0</v>
      </c>
      <c r="O28" s="280"/>
      <c r="P28" s="280"/>
      <c r="Q28" s="280"/>
      <c r="R28" s="279">
        <f t="shared" si="10"/>
        <v>0</v>
      </c>
      <c r="S28" s="280"/>
      <c r="T28" s="280">
        <v>0</v>
      </c>
      <c r="U28" s="280">
        <v>0</v>
      </c>
      <c r="V28" s="279">
        <f t="shared" si="11"/>
        <v>0</v>
      </c>
      <c r="W28" s="227"/>
      <c r="X28" s="224"/>
      <c r="Y28" s="225"/>
      <c r="AA28" s="227"/>
    </row>
    <row r="29" spans="1:27" ht="16.5" hidden="1" customHeight="1" outlineLevel="1" x14ac:dyDescent="0.25">
      <c r="A29" s="228">
        <v>242102010017</v>
      </c>
      <c r="B29" s="229" t="s">
        <v>164</v>
      </c>
      <c r="C29" s="250">
        <v>1025504593.0000001</v>
      </c>
      <c r="D29" s="250">
        <v>0</v>
      </c>
      <c r="E29" s="250">
        <v>0</v>
      </c>
      <c r="F29" s="279">
        <f t="shared" si="8"/>
        <v>1025504593.0000001</v>
      </c>
      <c r="G29" s="280">
        <v>0</v>
      </c>
      <c r="H29" s="280">
        <v>0</v>
      </c>
      <c r="I29" s="280">
        <v>0</v>
      </c>
      <c r="J29" s="279">
        <f t="shared" si="9"/>
        <v>0</v>
      </c>
      <c r="K29" s="280">
        <v>0</v>
      </c>
      <c r="L29" s="280">
        <v>0</v>
      </c>
      <c r="M29" s="280">
        <v>0</v>
      </c>
      <c r="N29" s="279">
        <f t="shared" si="3"/>
        <v>0</v>
      </c>
      <c r="O29" s="280"/>
      <c r="P29" s="280"/>
      <c r="Q29" s="280"/>
      <c r="R29" s="279">
        <f t="shared" si="10"/>
        <v>0</v>
      </c>
      <c r="S29" s="280"/>
      <c r="T29" s="280">
        <v>0</v>
      </c>
      <c r="U29" s="280">
        <v>0</v>
      </c>
      <c r="V29" s="279">
        <f t="shared" si="11"/>
        <v>0</v>
      </c>
      <c r="W29" s="227"/>
      <c r="X29" s="224"/>
      <c r="Y29" s="225"/>
      <c r="AA29" s="227"/>
    </row>
    <row r="30" spans="1:27" ht="15" hidden="1" customHeight="1" outlineLevel="1" x14ac:dyDescent="0.25">
      <c r="A30" s="228">
        <v>242102010018</v>
      </c>
      <c r="B30" s="229" t="s">
        <v>165</v>
      </c>
      <c r="C30" s="250">
        <v>0</v>
      </c>
      <c r="D30" s="250">
        <v>1223976904</v>
      </c>
      <c r="E30" s="250">
        <v>0</v>
      </c>
      <c r="F30" s="279">
        <f t="shared" si="8"/>
        <v>1223976904</v>
      </c>
      <c r="G30" s="280">
        <v>0</v>
      </c>
      <c r="H30" s="280">
        <v>0</v>
      </c>
      <c r="I30" s="280">
        <v>0</v>
      </c>
      <c r="J30" s="279">
        <f t="shared" si="9"/>
        <v>0</v>
      </c>
      <c r="K30" s="280">
        <v>0</v>
      </c>
      <c r="L30" s="280">
        <v>0</v>
      </c>
      <c r="M30" s="280">
        <v>0</v>
      </c>
      <c r="N30" s="279">
        <f t="shared" si="3"/>
        <v>0</v>
      </c>
      <c r="O30" s="280">
        <v>0</v>
      </c>
      <c r="P30" s="280">
        <v>0</v>
      </c>
      <c r="Q30" s="280">
        <v>0</v>
      </c>
      <c r="R30" s="279">
        <f t="shared" si="10"/>
        <v>0</v>
      </c>
      <c r="S30" s="280">
        <v>0</v>
      </c>
      <c r="T30" s="280">
        <v>0</v>
      </c>
      <c r="U30" s="280">
        <v>0</v>
      </c>
      <c r="V30" s="279">
        <f t="shared" si="11"/>
        <v>0</v>
      </c>
      <c r="W30" s="227"/>
      <c r="X30" s="224"/>
      <c r="Y30" s="225"/>
      <c r="AA30" s="227"/>
    </row>
    <row r="31" spans="1:27" s="234" customFormat="1" ht="15" hidden="1" customHeight="1" outlineLevel="1" x14ac:dyDescent="0.25">
      <c r="A31" s="228">
        <v>242102010019</v>
      </c>
      <c r="B31" s="229" t="s">
        <v>166</v>
      </c>
      <c r="C31" s="250">
        <v>32517350.000000004</v>
      </c>
      <c r="D31" s="250">
        <v>0</v>
      </c>
      <c r="E31" s="250">
        <v>0</v>
      </c>
      <c r="F31" s="279">
        <f t="shared" si="8"/>
        <v>32517350.000000004</v>
      </c>
      <c r="G31" s="280">
        <v>0</v>
      </c>
      <c r="H31" s="280">
        <v>0</v>
      </c>
      <c r="I31" s="280">
        <v>0</v>
      </c>
      <c r="J31" s="279">
        <f t="shared" si="9"/>
        <v>0</v>
      </c>
      <c r="K31" s="280">
        <v>0</v>
      </c>
      <c r="L31" s="280">
        <v>0</v>
      </c>
      <c r="M31" s="280">
        <v>0</v>
      </c>
      <c r="N31" s="279">
        <f t="shared" si="3"/>
        <v>0</v>
      </c>
      <c r="O31" s="280">
        <v>0</v>
      </c>
      <c r="P31" s="280">
        <v>0</v>
      </c>
      <c r="Q31" s="280">
        <v>0</v>
      </c>
      <c r="R31" s="279">
        <f t="shared" si="10"/>
        <v>0</v>
      </c>
      <c r="S31" s="280">
        <v>0</v>
      </c>
      <c r="T31" s="280">
        <v>0</v>
      </c>
      <c r="U31" s="280">
        <v>0</v>
      </c>
      <c r="V31" s="279">
        <f t="shared" si="11"/>
        <v>0</v>
      </c>
      <c r="W31" s="227"/>
      <c r="X31" s="224"/>
      <c r="Y31" s="225"/>
      <c r="AA31" s="227"/>
    </row>
    <row r="32" spans="1:27" ht="15" hidden="1" customHeight="1" outlineLevel="1" x14ac:dyDescent="0.25">
      <c r="A32" s="228">
        <v>242102010020</v>
      </c>
      <c r="B32" s="229" t="s">
        <v>167</v>
      </c>
      <c r="C32" s="250">
        <v>748941064</v>
      </c>
      <c r="D32" s="250">
        <v>5449632058</v>
      </c>
      <c r="E32" s="250">
        <v>0</v>
      </c>
      <c r="F32" s="279">
        <f t="shared" si="8"/>
        <v>6198573122</v>
      </c>
      <c r="G32" s="280">
        <v>181013873</v>
      </c>
      <c r="H32" s="280">
        <v>0</v>
      </c>
      <c r="I32" s="280">
        <v>0</v>
      </c>
      <c r="J32" s="279">
        <f t="shared" si="9"/>
        <v>181013873</v>
      </c>
      <c r="K32" s="280">
        <v>0</v>
      </c>
      <c r="L32" s="280">
        <v>0</v>
      </c>
      <c r="M32" s="280">
        <v>0</v>
      </c>
      <c r="N32" s="279">
        <f t="shared" si="3"/>
        <v>0</v>
      </c>
      <c r="O32" s="280">
        <v>0</v>
      </c>
      <c r="P32" s="280">
        <v>0</v>
      </c>
      <c r="Q32" s="280">
        <v>0</v>
      </c>
      <c r="R32" s="279">
        <f t="shared" si="10"/>
        <v>0</v>
      </c>
      <c r="S32" s="280">
        <v>0</v>
      </c>
      <c r="T32" s="280">
        <v>0</v>
      </c>
      <c r="U32" s="280">
        <v>0</v>
      </c>
      <c r="V32" s="279">
        <f t="shared" si="11"/>
        <v>0</v>
      </c>
      <c r="W32" s="227"/>
      <c r="X32" s="224"/>
      <c r="Y32" s="225"/>
      <c r="AA32" s="227"/>
    </row>
    <row r="33" spans="1:37" ht="15" hidden="1" customHeight="1" outlineLevel="1" x14ac:dyDescent="0.25">
      <c r="A33" s="228">
        <v>242102010021</v>
      </c>
      <c r="B33" s="229" t="s">
        <v>168</v>
      </c>
      <c r="C33" s="250">
        <v>609000000</v>
      </c>
      <c r="D33" s="250"/>
      <c r="E33" s="250">
        <v>0</v>
      </c>
      <c r="F33" s="279">
        <f t="shared" si="8"/>
        <v>609000000</v>
      </c>
      <c r="G33" s="280">
        <v>54708502.759999998</v>
      </c>
      <c r="H33" s="280">
        <v>0</v>
      </c>
      <c r="I33" s="280">
        <v>0</v>
      </c>
      <c r="J33" s="279">
        <f t="shared" si="9"/>
        <v>54708502.759999998</v>
      </c>
      <c r="K33" s="280">
        <v>54708502.759999998</v>
      </c>
      <c r="L33" s="280">
        <v>0</v>
      </c>
      <c r="M33" s="280">
        <v>0</v>
      </c>
      <c r="N33" s="279">
        <f t="shared" si="3"/>
        <v>54708502.759999998</v>
      </c>
      <c r="O33" s="280">
        <v>54708502.759999998</v>
      </c>
      <c r="P33" s="280">
        <v>0</v>
      </c>
      <c r="Q33" s="280">
        <v>0</v>
      </c>
      <c r="R33" s="279">
        <f t="shared" si="10"/>
        <v>54708502.759999998</v>
      </c>
      <c r="S33" s="280">
        <v>54708502.759999998</v>
      </c>
      <c r="T33" s="280">
        <v>0</v>
      </c>
      <c r="U33" s="280">
        <v>0</v>
      </c>
      <c r="V33" s="279">
        <f t="shared" si="11"/>
        <v>54708502.759999998</v>
      </c>
      <c r="W33" s="227"/>
      <c r="X33" s="224"/>
      <c r="Y33" s="225"/>
      <c r="AA33" s="227"/>
    </row>
    <row r="34" spans="1:37" ht="15" hidden="1" customHeight="1" outlineLevel="1" x14ac:dyDescent="0.25">
      <c r="A34" s="228">
        <v>242102010022</v>
      </c>
      <c r="B34" s="229" t="s">
        <v>169</v>
      </c>
      <c r="C34" s="250">
        <v>0</v>
      </c>
      <c r="D34" s="250">
        <v>2933622900</v>
      </c>
      <c r="E34" s="250">
        <v>0</v>
      </c>
      <c r="F34" s="279">
        <f t="shared" si="8"/>
        <v>2933622900</v>
      </c>
      <c r="G34" s="282">
        <v>0</v>
      </c>
      <c r="H34" s="280">
        <v>0</v>
      </c>
      <c r="I34" s="280">
        <v>0</v>
      </c>
      <c r="J34" s="279">
        <f t="shared" si="9"/>
        <v>0</v>
      </c>
      <c r="K34" s="280">
        <v>0</v>
      </c>
      <c r="L34" s="280">
        <v>0</v>
      </c>
      <c r="M34" s="280">
        <v>0</v>
      </c>
      <c r="N34" s="279">
        <f t="shared" si="3"/>
        <v>0</v>
      </c>
      <c r="O34" s="280">
        <v>0</v>
      </c>
      <c r="P34" s="280">
        <v>0</v>
      </c>
      <c r="Q34" s="280">
        <v>0</v>
      </c>
      <c r="R34" s="279">
        <f t="shared" si="10"/>
        <v>0</v>
      </c>
      <c r="S34" s="280">
        <v>0</v>
      </c>
      <c r="T34" s="280">
        <v>0</v>
      </c>
      <c r="U34" s="280">
        <v>0</v>
      </c>
      <c r="V34" s="279">
        <f t="shared" si="11"/>
        <v>0</v>
      </c>
      <c r="W34" s="227"/>
      <c r="X34" s="224"/>
      <c r="Y34" s="225"/>
      <c r="AA34" s="227"/>
    </row>
    <row r="35" spans="1:37" ht="15" hidden="1" customHeight="1" outlineLevel="1" x14ac:dyDescent="0.25">
      <c r="A35" s="228">
        <v>242102010023</v>
      </c>
      <c r="B35" s="229" t="s">
        <v>170</v>
      </c>
      <c r="C35" s="250">
        <v>9686864</v>
      </c>
      <c r="D35" s="250">
        <v>0</v>
      </c>
      <c r="E35" s="250">
        <v>0</v>
      </c>
      <c r="F35" s="279">
        <f t="shared" si="8"/>
        <v>9686864</v>
      </c>
      <c r="G35" s="280">
        <v>5952000</v>
      </c>
      <c r="H35" s="280">
        <v>0</v>
      </c>
      <c r="I35" s="280">
        <v>0</v>
      </c>
      <c r="J35" s="279">
        <f>SUM(G35:I35)</f>
        <v>5952000</v>
      </c>
      <c r="K35" s="280">
        <v>496000</v>
      </c>
      <c r="L35" s="280">
        <v>0</v>
      </c>
      <c r="M35" s="280">
        <v>0</v>
      </c>
      <c r="N35" s="279">
        <f t="shared" si="3"/>
        <v>496000</v>
      </c>
      <c r="O35" s="280">
        <v>496000</v>
      </c>
      <c r="P35" s="280">
        <v>0</v>
      </c>
      <c r="Q35" s="280">
        <v>0</v>
      </c>
      <c r="R35" s="279">
        <f t="shared" si="10"/>
        <v>496000</v>
      </c>
      <c r="S35" s="280">
        <v>496000</v>
      </c>
      <c r="T35" s="280">
        <v>0</v>
      </c>
      <c r="U35" s="280">
        <v>0</v>
      </c>
      <c r="V35" s="279">
        <f t="shared" si="11"/>
        <v>496000</v>
      </c>
      <c r="W35" s="227"/>
      <c r="X35" s="224"/>
      <c r="Y35" s="225"/>
      <c r="AA35" s="227"/>
    </row>
    <row r="36" spans="1:37" ht="15" hidden="1" customHeight="1" outlineLevel="1" x14ac:dyDescent="0.25">
      <c r="A36" s="228">
        <v>242102010024</v>
      </c>
      <c r="B36" s="229" t="s">
        <v>171</v>
      </c>
      <c r="C36" s="250">
        <v>450000000</v>
      </c>
      <c r="D36" s="250">
        <v>0</v>
      </c>
      <c r="E36" s="250">
        <v>0</v>
      </c>
      <c r="F36" s="279">
        <f t="shared" si="8"/>
        <v>450000000</v>
      </c>
      <c r="G36" s="280">
        <v>0</v>
      </c>
      <c r="H36" s="280">
        <v>0</v>
      </c>
      <c r="I36" s="280">
        <v>0</v>
      </c>
      <c r="J36" s="279">
        <f t="shared" si="9"/>
        <v>0</v>
      </c>
      <c r="K36" s="280">
        <v>0</v>
      </c>
      <c r="L36" s="280">
        <v>0</v>
      </c>
      <c r="M36" s="280">
        <v>0</v>
      </c>
      <c r="N36" s="279">
        <f t="shared" si="3"/>
        <v>0</v>
      </c>
      <c r="O36" s="280">
        <v>0</v>
      </c>
      <c r="P36" s="280">
        <v>0</v>
      </c>
      <c r="Q36" s="280">
        <v>0</v>
      </c>
      <c r="R36" s="279">
        <f t="shared" si="10"/>
        <v>0</v>
      </c>
      <c r="S36" s="280">
        <v>0</v>
      </c>
      <c r="T36" s="280">
        <v>0</v>
      </c>
      <c r="U36" s="280">
        <v>0</v>
      </c>
      <c r="V36" s="279">
        <f t="shared" si="11"/>
        <v>0</v>
      </c>
      <c r="W36" s="227"/>
      <c r="X36" s="224"/>
      <c r="Y36" s="225"/>
      <c r="AA36" s="227"/>
    </row>
    <row r="37" spans="1:37" ht="15" hidden="1" customHeight="1" outlineLevel="1" x14ac:dyDescent="0.25">
      <c r="A37" s="228">
        <v>242102010025</v>
      </c>
      <c r="B37" s="229" t="s">
        <v>172</v>
      </c>
      <c r="C37" s="250">
        <v>0</v>
      </c>
      <c r="D37" s="250">
        <v>0</v>
      </c>
      <c r="E37" s="250">
        <v>167699525.20000002</v>
      </c>
      <c r="F37" s="279">
        <f t="shared" si="8"/>
        <v>167699525.20000002</v>
      </c>
      <c r="G37" s="280">
        <v>0</v>
      </c>
      <c r="H37" s="280">
        <v>0</v>
      </c>
      <c r="I37" s="280">
        <v>0</v>
      </c>
      <c r="J37" s="279">
        <f t="shared" si="9"/>
        <v>0</v>
      </c>
      <c r="K37" s="280">
        <v>0</v>
      </c>
      <c r="L37" s="280">
        <v>0</v>
      </c>
      <c r="M37" s="280">
        <v>0</v>
      </c>
      <c r="N37" s="279">
        <f t="shared" si="3"/>
        <v>0</v>
      </c>
      <c r="O37" s="280">
        <v>0</v>
      </c>
      <c r="P37" s="280">
        <v>0</v>
      </c>
      <c r="Q37" s="280">
        <v>0</v>
      </c>
      <c r="R37" s="279">
        <f t="shared" si="10"/>
        <v>0</v>
      </c>
      <c r="S37" s="280">
        <v>0</v>
      </c>
      <c r="T37" s="280">
        <v>0</v>
      </c>
      <c r="U37" s="280">
        <v>0</v>
      </c>
      <c r="V37" s="279">
        <f t="shared" si="11"/>
        <v>0</v>
      </c>
      <c r="W37" s="227"/>
      <c r="X37" s="224"/>
      <c r="Y37" s="225"/>
      <c r="AA37" s="227"/>
    </row>
    <row r="38" spans="1:37" ht="15" hidden="1" customHeight="1" outlineLevel="1" x14ac:dyDescent="0.25">
      <c r="A38" s="228">
        <v>242102010026</v>
      </c>
      <c r="B38" s="229" t="s">
        <v>173</v>
      </c>
      <c r="C38" s="250">
        <v>0</v>
      </c>
      <c r="D38" s="250">
        <v>0</v>
      </c>
      <c r="E38" s="250">
        <v>251549287.79999998</v>
      </c>
      <c r="F38" s="279">
        <f t="shared" si="8"/>
        <v>251549287.79999998</v>
      </c>
      <c r="G38" s="280">
        <v>0</v>
      </c>
      <c r="H38" s="280">
        <v>0</v>
      </c>
      <c r="I38" s="280">
        <v>73163775</v>
      </c>
      <c r="J38" s="279">
        <f t="shared" si="9"/>
        <v>73163775</v>
      </c>
      <c r="K38" s="280">
        <v>0</v>
      </c>
      <c r="L38" s="280">
        <v>0</v>
      </c>
      <c r="M38" s="280">
        <v>73163775</v>
      </c>
      <c r="N38" s="279">
        <f t="shared" si="3"/>
        <v>73163775</v>
      </c>
      <c r="O38" s="280">
        <v>0</v>
      </c>
      <c r="P38" s="280">
        <v>0</v>
      </c>
      <c r="Q38" s="280">
        <v>73163775</v>
      </c>
      <c r="R38" s="279">
        <f t="shared" si="10"/>
        <v>73163775</v>
      </c>
      <c r="S38" s="280">
        <v>0</v>
      </c>
      <c r="T38" s="280">
        <v>0</v>
      </c>
      <c r="U38" s="280">
        <v>73163775</v>
      </c>
      <c r="V38" s="279">
        <f t="shared" si="11"/>
        <v>73163775</v>
      </c>
      <c r="W38" s="227"/>
      <c r="X38" s="224"/>
      <c r="Y38" s="225"/>
      <c r="AA38" s="227"/>
    </row>
    <row r="39" spans="1:37" ht="15" hidden="1" customHeight="1" outlineLevel="1" x14ac:dyDescent="0.25">
      <c r="A39" s="228">
        <v>242102010027</v>
      </c>
      <c r="B39" s="229" t="s">
        <v>174</v>
      </c>
      <c r="C39" s="250">
        <v>849150</v>
      </c>
      <c r="D39" s="250">
        <v>7168844664</v>
      </c>
      <c r="E39" s="250">
        <v>0</v>
      </c>
      <c r="F39" s="279">
        <f>SUM(C39:E39)</f>
        <v>7169693814</v>
      </c>
      <c r="G39" s="280">
        <v>0</v>
      </c>
      <c r="H39" s="280">
        <v>0</v>
      </c>
      <c r="I39" s="280">
        <v>0</v>
      </c>
      <c r="J39" s="279">
        <f t="shared" si="9"/>
        <v>0</v>
      </c>
      <c r="K39" s="280">
        <v>0</v>
      </c>
      <c r="L39" s="280">
        <v>0</v>
      </c>
      <c r="M39" s="280">
        <v>0</v>
      </c>
      <c r="N39" s="279">
        <f t="shared" si="3"/>
        <v>0</v>
      </c>
      <c r="O39" s="280">
        <v>0</v>
      </c>
      <c r="P39" s="280">
        <v>0</v>
      </c>
      <c r="Q39" s="280">
        <v>0</v>
      </c>
      <c r="R39" s="279">
        <f t="shared" si="10"/>
        <v>0</v>
      </c>
      <c r="S39" s="280">
        <v>0</v>
      </c>
      <c r="T39" s="280">
        <v>0</v>
      </c>
      <c r="U39" s="280">
        <v>0</v>
      </c>
      <c r="V39" s="279">
        <f t="shared" si="11"/>
        <v>0</v>
      </c>
      <c r="W39" s="227"/>
      <c r="X39" s="224"/>
      <c r="Y39" s="225"/>
      <c r="AA39" s="227"/>
    </row>
    <row r="40" spans="1:37" ht="16.5" hidden="1" customHeight="1" outlineLevel="1" x14ac:dyDescent="0.25">
      <c r="A40" s="228">
        <v>242102010028</v>
      </c>
      <c r="B40" s="229" t="s">
        <v>175</v>
      </c>
      <c r="C40" s="250">
        <v>1111788390</v>
      </c>
      <c r="D40" s="250">
        <v>0</v>
      </c>
      <c r="E40" s="250">
        <v>0</v>
      </c>
      <c r="F40" s="279">
        <f>SUM(C40:E40)</f>
        <v>1111788390</v>
      </c>
      <c r="G40" s="280">
        <v>313950000</v>
      </c>
      <c r="H40" s="280">
        <v>0</v>
      </c>
      <c r="I40" s="280">
        <v>0</v>
      </c>
      <c r="J40" s="279">
        <f t="shared" si="9"/>
        <v>313950000</v>
      </c>
      <c r="K40" s="280">
        <v>2184840</v>
      </c>
      <c r="L40" s="280">
        <v>0</v>
      </c>
      <c r="M40" s="280">
        <v>0</v>
      </c>
      <c r="N40" s="279">
        <f t="shared" si="3"/>
        <v>2184840</v>
      </c>
      <c r="O40" s="280">
        <v>2184840</v>
      </c>
      <c r="P40" s="280">
        <v>0</v>
      </c>
      <c r="Q40" s="280">
        <v>0</v>
      </c>
      <c r="R40" s="279">
        <f t="shared" si="10"/>
        <v>2184840</v>
      </c>
      <c r="S40" s="280">
        <v>2184840</v>
      </c>
      <c r="T40" s="280">
        <v>0</v>
      </c>
      <c r="U40" s="280">
        <v>0</v>
      </c>
      <c r="V40" s="279">
        <f t="shared" si="11"/>
        <v>2184840</v>
      </c>
      <c r="W40" s="227"/>
      <c r="X40" s="224"/>
      <c r="Y40" s="225"/>
      <c r="Z40" s="235"/>
      <c r="AA40" s="227"/>
      <c r="AB40" s="235"/>
      <c r="AC40" s="235"/>
      <c r="AD40" s="235"/>
      <c r="AE40" s="235"/>
      <c r="AF40" s="235"/>
      <c r="AG40" s="235"/>
      <c r="AH40" s="235"/>
      <c r="AI40" s="235"/>
      <c r="AJ40" s="236"/>
      <c r="AK40" s="237">
        <f>SUM(W40:AJ40)</f>
        <v>0</v>
      </c>
    </row>
    <row r="41" spans="1:37" ht="16.5" hidden="1" customHeight="1" outlineLevel="1" x14ac:dyDescent="0.25">
      <c r="A41" s="228">
        <v>242102010029</v>
      </c>
      <c r="B41" s="229" t="s">
        <v>176</v>
      </c>
      <c r="C41" s="250">
        <v>1050000000</v>
      </c>
      <c r="D41" s="250">
        <v>0</v>
      </c>
      <c r="E41" s="250">
        <v>0</v>
      </c>
      <c r="F41" s="279">
        <f t="shared" ref="F41:F42" si="12">SUM(C41:E41)</f>
        <v>1050000000</v>
      </c>
      <c r="G41" s="280">
        <v>84546414</v>
      </c>
      <c r="H41" s="280">
        <v>0</v>
      </c>
      <c r="I41" s="280">
        <v>0</v>
      </c>
      <c r="J41" s="279">
        <f t="shared" si="9"/>
        <v>84546414</v>
      </c>
      <c r="K41" s="280">
        <v>0</v>
      </c>
      <c r="L41" s="280">
        <v>0</v>
      </c>
      <c r="M41" s="280">
        <v>0</v>
      </c>
      <c r="N41" s="279">
        <f t="shared" si="3"/>
        <v>0</v>
      </c>
      <c r="O41" s="280">
        <v>0</v>
      </c>
      <c r="P41" s="280">
        <v>0</v>
      </c>
      <c r="Q41" s="280">
        <v>0</v>
      </c>
      <c r="R41" s="279">
        <f t="shared" si="10"/>
        <v>0</v>
      </c>
      <c r="S41" s="280">
        <v>0</v>
      </c>
      <c r="T41" s="280">
        <v>0</v>
      </c>
      <c r="U41" s="280">
        <v>0</v>
      </c>
      <c r="V41" s="279">
        <f t="shared" si="11"/>
        <v>0</v>
      </c>
      <c r="W41" s="227"/>
      <c r="X41" s="224"/>
      <c r="Y41" s="225"/>
      <c r="AA41" s="227"/>
    </row>
    <row r="42" spans="1:37" ht="16.5" hidden="1" customHeight="1" outlineLevel="1" x14ac:dyDescent="0.25">
      <c r="A42" s="228">
        <v>242102010030</v>
      </c>
      <c r="B42" s="229" t="s">
        <v>177</v>
      </c>
      <c r="C42" s="250">
        <v>123501961</v>
      </c>
      <c r="D42" s="250">
        <v>0</v>
      </c>
      <c r="E42" s="250">
        <v>0</v>
      </c>
      <c r="F42" s="279">
        <f t="shared" si="12"/>
        <v>123501961</v>
      </c>
      <c r="G42" s="280">
        <v>123501960</v>
      </c>
      <c r="H42" s="280">
        <v>0</v>
      </c>
      <c r="I42" s="280">
        <v>0</v>
      </c>
      <c r="J42" s="279">
        <f t="shared" si="9"/>
        <v>123501960</v>
      </c>
      <c r="K42" s="280">
        <v>0</v>
      </c>
      <c r="L42" s="280">
        <v>0</v>
      </c>
      <c r="M42" s="280">
        <v>0</v>
      </c>
      <c r="N42" s="279">
        <f t="shared" si="3"/>
        <v>0</v>
      </c>
      <c r="O42" s="280">
        <v>0</v>
      </c>
      <c r="P42" s="280">
        <v>0</v>
      </c>
      <c r="Q42" s="280">
        <v>0</v>
      </c>
      <c r="R42" s="279">
        <f t="shared" si="10"/>
        <v>0</v>
      </c>
      <c r="S42" s="280">
        <v>0</v>
      </c>
      <c r="T42" s="280">
        <v>0</v>
      </c>
      <c r="U42" s="280">
        <v>0</v>
      </c>
      <c r="V42" s="279">
        <f t="shared" si="11"/>
        <v>0</v>
      </c>
      <c r="W42" s="227"/>
      <c r="X42" s="224"/>
      <c r="Y42" s="225"/>
      <c r="AA42" s="227"/>
    </row>
    <row r="43" spans="1:37" s="238" customFormat="1" ht="26.25" customHeight="1" collapsed="1" x14ac:dyDescent="0.25">
      <c r="A43" s="222"/>
      <c r="B43" s="222" t="s">
        <v>105</v>
      </c>
      <c r="C43" s="251">
        <f t="shared" ref="C43:V43" si="13">SUM(C44:C47)</f>
        <v>4312859864</v>
      </c>
      <c r="D43" s="251">
        <f t="shared" si="13"/>
        <v>0</v>
      </c>
      <c r="E43" s="251">
        <f t="shared" si="13"/>
        <v>0</v>
      </c>
      <c r="F43" s="281">
        <f t="shared" si="13"/>
        <v>4312859864</v>
      </c>
      <c r="G43" s="281">
        <f t="shared" si="13"/>
        <v>1184096000</v>
      </c>
      <c r="H43" s="281">
        <f t="shared" si="13"/>
        <v>0</v>
      </c>
      <c r="I43" s="281">
        <f t="shared" si="13"/>
        <v>0</v>
      </c>
      <c r="J43" s="281">
        <f t="shared" si="13"/>
        <v>1184096000</v>
      </c>
      <c r="K43" s="281">
        <f t="shared" si="13"/>
        <v>199400000</v>
      </c>
      <c r="L43" s="281">
        <f t="shared" si="13"/>
        <v>0</v>
      </c>
      <c r="M43" s="281">
        <f t="shared" si="13"/>
        <v>0</v>
      </c>
      <c r="N43" s="281">
        <f t="shared" si="13"/>
        <v>199400000</v>
      </c>
      <c r="O43" s="281">
        <f t="shared" si="13"/>
        <v>0</v>
      </c>
      <c r="P43" s="281">
        <f t="shared" si="13"/>
        <v>0</v>
      </c>
      <c r="Q43" s="281">
        <f t="shared" si="13"/>
        <v>0</v>
      </c>
      <c r="R43" s="281">
        <f t="shared" si="13"/>
        <v>0</v>
      </c>
      <c r="S43" s="281">
        <f t="shared" si="13"/>
        <v>0</v>
      </c>
      <c r="T43" s="281">
        <f t="shared" si="13"/>
        <v>0</v>
      </c>
      <c r="U43" s="281">
        <f t="shared" si="13"/>
        <v>0</v>
      </c>
      <c r="V43" s="281">
        <f t="shared" si="13"/>
        <v>0</v>
      </c>
      <c r="W43" s="227"/>
      <c r="X43" s="224"/>
      <c r="Y43" s="225"/>
      <c r="AA43" s="227"/>
    </row>
    <row r="44" spans="1:37" ht="15" hidden="1" customHeight="1" outlineLevel="1" x14ac:dyDescent="0.25">
      <c r="A44" s="228">
        <v>242103010001</v>
      </c>
      <c r="B44" s="229" t="s">
        <v>178</v>
      </c>
      <c r="C44" s="250">
        <v>2908859864</v>
      </c>
      <c r="D44" s="253">
        <v>0</v>
      </c>
      <c r="E44" s="253">
        <v>0</v>
      </c>
      <c r="F44" s="279">
        <f>SUM(C44:E44)</f>
        <v>2908859864</v>
      </c>
      <c r="G44" s="280">
        <v>1172196000</v>
      </c>
      <c r="H44" s="280">
        <v>0</v>
      </c>
      <c r="I44" s="280">
        <v>0</v>
      </c>
      <c r="J44" s="279">
        <f>SUM(G44:I44)</f>
        <v>1172196000</v>
      </c>
      <c r="K44" s="280">
        <v>199400000</v>
      </c>
      <c r="L44" s="280">
        <v>0</v>
      </c>
      <c r="M44" s="280">
        <v>0</v>
      </c>
      <c r="N44" s="279">
        <f>SUM(K44:M44)</f>
        <v>199400000</v>
      </c>
      <c r="O44" s="280">
        <v>0</v>
      </c>
      <c r="P44" s="280">
        <v>0</v>
      </c>
      <c r="Q44" s="280">
        <v>0</v>
      </c>
      <c r="R44" s="279">
        <f>SUM(O44:Q44)</f>
        <v>0</v>
      </c>
      <c r="S44" s="280">
        <v>0</v>
      </c>
      <c r="T44" s="280">
        <v>0</v>
      </c>
      <c r="U44" s="280">
        <v>0</v>
      </c>
      <c r="V44" s="279">
        <f>SUM(S44:U44)</f>
        <v>0</v>
      </c>
      <c r="W44" s="227"/>
      <c r="X44" s="224"/>
      <c r="Y44" s="225"/>
      <c r="AA44" s="227"/>
    </row>
    <row r="45" spans="1:37" ht="15" hidden="1" customHeight="1" outlineLevel="1" x14ac:dyDescent="0.25">
      <c r="A45" s="228">
        <f>A44+1</f>
        <v>242103010002</v>
      </c>
      <c r="B45" s="229" t="s">
        <v>179</v>
      </c>
      <c r="C45" s="250">
        <v>800000000</v>
      </c>
      <c r="D45" s="253">
        <v>0</v>
      </c>
      <c r="E45" s="253">
        <v>0</v>
      </c>
      <c r="F45" s="279">
        <f>SUM(C45:E45)</f>
        <v>800000000</v>
      </c>
      <c r="G45" s="280">
        <v>11900000</v>
      </c>
      <c r="H45" s="280">
        <v>0</v>
      </c>
      <c r="I45" s="280">
        <v>0</v>
      </c>
      <c r="J45" s="279">
        <f>SUM(G45:I45)</f>
        <v>11900000</v>
      </c>
      <c r="K45" s="280">
        <v>0</v>
      </c>
      <c r="L45" s="280">
        <v>0</v>
      </c>
      <c r="M45" s="280">
        <v>0</v>
      </c>
      <c r="N45" s="279">
        <f t="shared" ref="N45:N47" si="14">SUM(K45:M45)</f>
        <v>0</v>
      </c>
      <c r="O45" s="280">
        <v>0</v>
      </c>
      <c r="P45" s="280">
        <v>0</v>
      </c>
      <c r="Q45" s="280">
        <v>0</v>
      </c>
      <c r="R45" s="279">
        <f>SUM(O45:Q45)</f>
        <v>0</v>
      </c>
      <c r="S45" s="280">
        <v>0</v>
      </c>
      <c r="T45" s="280">
        <v>0</v>
      </c>
      <c r="U45" s="280">
        <v>0</v>
      </c>
      <c r="V45" s="279">
        <f>SUM(S45:U45)</f>
        <v>0</v>
      </c>
      <c r="W45" s="227"/>
      <c r="X45" s="224"/>
      <c r="Y45" s="225"/>
      <c r="AA45" s="227"/>
    </row>
    <row r="46" spans="1:37" ht="15" hidden="1" customHeight="1" outlineLevel="1" x14ac:dyDescent="0.25">
      <c r="A46" s="228">
        <f>A45+1</f>
        <v>242103010003</v>
      </c>
      <c r="B46" s="229" t="s">
        <v>180</v>
      </c>
      <c r="C46" s="250">
        <v>468000000</v>
      </c>
      <c r="D46" s="253">
        <v>0</v>
      </c>
      <c r="E46" s="253">
        <v>0</v>
      </c>
      <c r="F46" s="279">
        <f>SUM(C46:E46)</f>
        <v>468000000</v>
      </c>
      <c r="G46" s="280">
        <v>0</v>
      </c>
      <c r="H46" s="280">
        <v>0</v>
      </c>
      <c r="I46" s="280">
        <v>0</v>
      </c>
      <c r="J46" s="279">
        <f>SUM(G46:I46)</f>
        <v>0</v>
      </c>
      <c r="K46" s="280">
        <v>0</v>
      </c>
      <c r="L46" s="280">
        <v>0</v>
      </c>
      <c r="M46" s="280">
        <v>0</v>
      </c>
      <c r="N46" s="279">
        <f t="shared" si="14"/>
        <v>0</v>
      </c>
      <c r="O46" s="280">
        <v>0</v>
      </c>
      <c r="P46" s="280">
        <v>0</v>
      </c>
      <c r="Q46" s="280">
        <v>0</v>
      </c>
      <c r="R46" s="279">
        <f>SUM(O46:Q46)</f>
        <v>0</v>
      </c>
      <c r="S46" s="280">
        <v>0</v>
      </c>
      <c r="T46" s="280">
        <v>0</v>
      </c>
      <c r="U46" s="280">
        <v>0</v>
      </c>
      <c r="V46" s="279">
        <f>SUM(S46:U46)</f>
        <v>0</v>
      </c>
      <c r="W46" s="227"/>
      <c r="X46" s="224"/>
      <c r="Y46" s="225"/>
      <c r="AA46" s="227"/>
    </row>
    <row r="47" spans="1:37" ht="15" hidden="1" customHeight="1" outlineLevel="1" x14ac:dyDescent="0.25">
      <c r="A47" s="228">
        <f>A46+1</f>
        <v>242103010004</v>
      </c>
      <c r="B47" s="229" t="s">
        <v>181</v>
      </c>
      <c r="C47" s="250">
        <v>136000000</v>
      </c>
      <c r="D47" s="253">
        <v>0</v>
      </c>
      <c r="E47" s="253">
        <v>0</v>
      </c>
      <c r="F47" s="279">
        <f>SUM(C47:E47)</f>
        <v>136000000</v>
      </c>
      <c r="G47" s="280">
        <v>0</v>
      </c>
      <c r="H47" s="280">
        <v>0</v>
      </c>
      <c r="I47" s="280">
        <v>0</v>
      </c>
      <c r="J47" s="279">
        <f>SUM(G47:I47)</f>
        <v>0</v>
      </c>
      <c r="K47" s="280">
        <v>0</v>
      </c>
      <c r="L47" s="280">
        <v>0</v>
      </c>
      <c r="M47" s="280">
        <v>0</v>
      </c>
      <c r="N47" s="279">
        <f t="shared" si="14"/>
        <v>0</v>
      </c>
      <c r="O47" s="280">
        <v>0</v>
      </c>
      <c r="P47" s="280">
        <v>0</v>
      </c>
      <c r="Q47" s="280">
        <v>0</v>
      </c>
      <c r="R47" s="279">
        <f>SUM(O47:Q47)</f>
        <v>0</v>
      </c>
      <c r="S47" s="280">
        <v>0</v>
      </c>
      <c r="T47" s="280">
        <v>0</v>
      </c>
      <c r="U47" s="280">
        <v>0</v>
      </c>
      <c r="V47" s="279">
        <f>SUM(S47:U47)</f>
        <v>0</v>
      </c>
      <c r="W47" s="227"/>
      <c r="X47" s="224"/>
      <c r="Y47" s="225"/>
      <c r="AA47" s="227"/>
    </row>
    <row r="48" spans="1:37" collapsed="1" x14ac:dyDescent="0.35">
      <c r="A48" s="228"/>
      <c r="D48" s="254"/>
      <c r="Y48" s="221"/>
    </row>
    <row r="49" spans="1:25" s="244" customFormat="1" x14ac:dyDescent="0.35">
      <c r="A49" s="213"/>
      <c r="B49" s="239"/>
      <c r="C49" s="252"/>
      <c r="D49" s="252"/>
      <c r="E49" s="252"/>
      <c r="F49" s="252"/>
      <c r="G49" s="237"/>
      <c r="H49" s="237"/>
      <c r="I49" s="237"/>
      <c r="J49" s="237"/>
      <c r="K49" s="137"/>
      <c r="L49" s="237"/>
      <c r="M49" s="237"/>
      <c r="N49" s="237"/>
      <c r="O49" s="237"/>
      <c r="P49" s="237"/>
      <c r="Q49" s="237"/>
      <c r="R49" s="237"/>
      <c r="S49" s="237"/>
      <c r="T49" s="243"/>
      <c r="U49" s="243"/>
      <c r="V49" s="243"/>
      <c r="Y49" s="245"/>
    </row>
    <row r="50" spans="1:25" s="244" customFormat="1" x14ac:dyDescent="0.35">
      <c r="A50" s="213"/>
      <c r="B50" s="239"/>
      <c r="C50" s="252"/>
      <c r="D50" s="255"/>
      <c r="E50" s="252"/>
      <c r="F50" s="255"/>
      <c r="G50" s="246"/>
      <c r="H50" s="237"/>
      <c r="I50" s="237"/>
      <c r="J50" s="246"/>
      <c r="K50" s="237"/>
      <c r="L50" s="237"/>
      <c r="M50" s="237"/>
      <c r="N50" s="237"/>
      <c r="O50" s="241"/>
      <c r="P50" s="237"/>
      <c r="Q50" s="237"/>
      <c r="R50" s="240"/>
      <c r="S50" s="137"/>
      <c r="T50" s="242"/>
      <c r="U50" s="242"/>
      <c r="V50" s="242"/>
      <c r="Y50" s="245"/>
    </row>
    <row r="51" spans="1:25" s="244" customFormat="1" x14ac:dyDescent="0.35">
      <c r="A51" s="213"/>
      <c r="B51" s="239"/>
      <c r="C51" s="252"/>
      <c r="D51" s="255"/>
      <c r="E51" s="252"/>
      <c r="F51" s="255"/>
      <c r="G51" s="246"/>
      <c r="H51" s="237"/>
      <c r="I51" s="237"/>
      <c r="J51" s="237"/>
      <c r="K51" s="137"/>
      <c r="L51" s="237"/>
      <c r="M51" s="237"/>
      <c r="N51" s="237"/>
      <c r="O51" s="237"/>
      <c r="P51" s="237"/>
      <c r="Q51" s="237"/>
      <c r="R51" s="240"/>
      <c r="S51" s="240"/>
      <c r="T51" s="242"/>
      <c r="U51" s="242"/>
      <c r="V51" s="242"/>
      <c r="Y51" s="245"/>
    </row>
    <row r="52" spans="1:25" x14ac:dyDescent="0.35">
      <c r="G52" s="246"/>
      <c r="K52" s="137"/>
    </row>
    <row r="53" spans="1:25" x14ac:dyDescent="0.35">
      <c r="G53" s="246"/>
      <c r="K53" s="137"/>
      <c r="R53" s="247"/>
    </row>
    <row r="54" spans="1:25" x14ac:dyDescent="0.35">
      <c r="G54" s="246"/>
      <c r="K54" s="137"/>
    </row>
    <row r="55" spans="1:25" x14ac:dyDescent="0.35">
      <c r="G55" s="246"/>
      <c r="K55" s="137"/>
    </row>
    <row r="56" spans="1:25" x14ac:dyDescent="0.35">
      <c r="G56" s="246"/>
      <c r="K56" s="137"/>
    </row>
    <row r="57" spans="1:25" x14ac:dyDescent="0.35">
      <c r="K57" s="137"/>
    </row>
    <row r="58" spans="1:25" x14ac:dyDescent="0.35">
      <c r="K58" s="137"/>
    </row>
    <row r="60" spans="1:25" x14ac:dyDescent="0.35">
      <c r="O60" s="137"/>
    </row>
    <row r="62" spans="1:25" x14ac:dyDescent="0.25">
      <c r="K62" s="241"/>
      <c r="L62" s="241"/>
      <c r="M62" s="241"/>
      <c r="N62" s="241"/>
    </row>
  </sheetData>
  <mergeCells count="1">
    <mergeCell ref="C1:R1"/>
  </mergeCells>
  <pageMargins left="0.7" right="0.7" top="0.75" bottom="0.75" header="0.3" footer="0.3"/>
  <pageSetup orientation="portrait" r:id="rId1"/>
  <ignoredErrors>
    <ignoredError sqref="F43 O12:V12 O4 J12 N12 F12:I12 K12:M12 J43:V4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BBB1A2C59E87A45B0B320537281AAE2" ma:contentTypeVersion="22" ma:contentTypeDescription="Crear nuevo documento." ma:contentTypeScope="" ma:versionID="115c4d5ef077311f0ccaf801781ea5b8">
  <xsd:schema xmlns:xsd="http://www.w3.org/2001/XMLSchema" xmlns:xs="http://www.w3.org/2001/XMLSchema" xmlns:p="http://schemas.microsoft.com/office/2006/metadata/properties" xmlns:ns1="http://schemas.microsoft.com/sharepoint/v3" xmlns:ns2="a16ba950-d015-4cbc-806e-9cba0f1b5528" xmlns:ns3="47cb3e12-45b3-4531-b84f-87359d4b7239" xmlns:ns4="838bd66f-6e2c-4628-b9f9-6ffebaa227a8" targetNamespace="http://schemas.microsoft.com/office/2006/metadata/properties" ma:root="true" ma:fieldsID="f07a988bf8a860b8b35cda1cba6045c4" ns1:_="" ns2:_="" ns3:_="" ns4:_="">
    <xsd:import namespace="http://schemas.microsoft.com/sharepoint/v3"/>
    <xsd:import namespace="a16ba950-d015-4cbc-806e-9cba0f1b5528"/>
    <xsd:import namespace="47cb3e12-45b3-4531-b84f-87359d4b7239"/>
    <xsd:import namespace="838bd66f-6e2c-4628-b9f9-6ffebaa227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Helga_x0020_Hern_x00e1_ndez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6ba950-d015-4cbc-806e-9cba0f1b5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b3e12-45b3-4531-b84f-87359d4b7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Helga_x0020_Hern_x00e1_ndez" ma:index="16" nillable="true" ma:displayName="Helga Hernández" ma:format="Dropdown" ma:list="UserInfo" ma:SharePointGroup="0" ma:internalName="Helga_x0020_Hern_x00e1_ndez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Flow_SignoffStatus" ma:index="24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Etiquetas de imagen" ma:readOnly="false" ma:fieldId="{5cf76f15-5ced-4ddc-b409-7134ff3c332f}" ma:taxonomyMulti="true" ma:sspId="0c597d8b-bc98-4887-b643-447b6f0135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d66f-6e2c-4628-b9f9-6ffebaa227a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8278f39a-443e-4925-9d51-d941a5dfb930}" ma:internalName="TaxCatchAll" ma:showField="CatchAllData" ma:web="838bd66f-6e2c-4628-b9f9-6ffebaa22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Helga_x0020_Hern_x00e1_ndez xmlns="47cb3e12-45b3-4531-b84f-87359d4b7239">
      <UserInfo>
        <DisplayName/>
        <AccountId xsi:nil="true"/>
        <AccountType/>
      </UserInfo>
    </Helga_x0020_Hern_x00e1_ndez>
    <_ip_UnifiedCompliancePolicyProperties xmlns="http://schemas.microsoft.com/sharepoint/v3" xsi:nil="true"/>
    <lcf76f155ced4ddcb4097134ff3c332f xmlns="47cb3e12-45b3-4531-b84f-87359d4b7239">
      <Terms xmlns="http://schemas.microsoft.com/office/infopath/2007/PartnerControls"/>
    </lcf76f155ced4ddcb4097134ff3c332f>
    <_Flow_SignoffStatus xmlns="47cb3e12-45b3-4531-b84f-87359d4b7239" xsi:nil="true"/>
    <TaxCatchAll xmlns="838bd66f-6e2c-4628-b9f9-6ffebaa227a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94FEE5-2B63-4DA0-BC92-BDA1582C0D7A}"/>
</file>

<file path=customXml/itemProps2.xml><?xml version="1.0" encoding="utf-8"?>
<ds:datastoreItem xmlns:ds="http://schemas.openxmlformats.org/officeDocument/2006/customXml" ds:itemID="{0B908EA8-B9A5-4A0C-9CB3-E9A5AADB5EB0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d0a644f1-cb45-41a2-89f3-f9669ce14705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FCCD0EA-005F-494F-90CA-3E95EED381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DETALLE PPTO INGRESO 29-02-2020</vt:lpstr>
      <vt:lpstr>INGRESOS </vt:lpstr>
      <vt:lpstr>Ingresos Bienes</vt:lpstr>
      <vt:lpstr>Mayor valor recibido ppto 2024</vt:lpstr>
      <vt:lpstr>EGRESOS </vt:lpstr>
      <vt:lpstr>Detalle Ejecución PPTAL</vt:lpstr>
      <vt:lpstr>Detalle Funcionamiento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Angie Carolina Rojas Cruz</cp:lastModifiedBy>
  <cp:revision/>
  <dcterms:created xsi:type="dcterms:W3CDTF">2010-02-15T21:40:39Z</dcterms:created>
  <dcterms:modified xsi:type="dcterms:W3CDTF">2024-05-22T21:32:32Z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0x0101002BBB1A2C59E87A45B0B320537281AAE2</vt:lpwstr>
  </property>
</Properties>
</file>