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NTUR\CONVENIOS FONTUR - ADM CONTRAPARTIDA\06 INFORMES\Informe Mensual contrato Fiducia 413-2023\2024.04\Anexos Informe\"/>
    </mc:Choice>
  </mc:AlternateContent>
  <xr:revisionPtr revIDLastSave="0" documentId="13_ncr:1_{3AABE146-6E2D-424D-847E-55B636CD134F}" xr6:coauthVersionLast="47" xr6:coauthVersionMax="47" xr10:uidLastSave="{00000000-0000-0000-0000-000000000000}"/>
  <bookViews>
    <workbookView xWindow="-108" yWindow="-108" windowWidth="23256" windowHeight="12456" tabRatio="801" xr2:uid="{1BC631F0-5111-46B1-9463-22F4CE1A1074}"/>
  </bookViews>
  <sheets>
    <sheet name="Consolidado" sheetId="9" r:id="rId1"/>
    <sheet name="Detalle Convenios" sheetId="7" r:id="rId2"/>
  </sheets>
  <externalReferences>
    <externalReference r:id="rId3"/>
  </externalReferences>
  <definedNames>
    <definedName name="_xlnm._FilterDatabase" localSheetId="1" hidden="1">'Detalle Convenios'!$C$4:$E$189</definedName>
    <definedName name="JULI09">[1]JULI09!$A$1:$H$330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7" l="1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5" i="7"/>
  <c r="P186" i="7"/>
  <c r="D18" i="9" s="1"/>
  <c r="P184" i="7"/>
  <c r="D9" i="9"/>
  <c r="R186" i="7" l="1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50" i="7"/>
  <c r="L51" i="7"/>
  <c r="L52" i="7"/>
  <c r="L53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5" i="7"/>
  <c r="L146" i="7"/>
  <c r="L148" i="7"/>
  <c r="L149" i="7"/>
  <c r="L150" i="7"/>
  <c r="L151" i="7"/>
  <c r="L152" i="7"/>
  <c r="L153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5" i="7"/>
  <c r="O6" i="9"/>
  <c r="O7" i="9"/>
  <c r="O8" i="9"/>
  <c r="J8" i="9"/>
  <c r="J6" i="9"/>
  <c r="H8" i="9"/>
  <c r="H6" i="9"/>
  <c r="F8" i="9"/>
  <c r="F7" i="9"/>
  <c r="F6" i="9"/>
  <c r="F9" i="9" l="1"/>
  <c r="O9" i="9"/>
  <c r="K186" i="7" l="1"/>
  <c r="N185" i="7"/>
  <c r="I185" i="7"/>
  <c r="N184" i="7"/>
  <c r="I184" i="7"/>
  <c r="N183" i="7"/>
  <c r="I183" i="7"/>
  <c r="N182" i="7"/>
  <c r="I182" i="7"/>
  <c r="N181" i="7"/>
  <c r="I181" i="7"/>
  <c r="N180" i="7"/>
  <c r="I180" i="7"/>
  <c r="N179" i="7"/>
  <c r="I179" i="7"/>
  <c r="N178" i="7"/>
  <c r="I178" i="7"/>
  <c r="N177" i="7"/>
  <c r="I177" i="7"/>
  <c r="N176" i="7"/>
  <c r="I176" i="7"/>
  <c r="N175" i="7"/>
  <c r="I175" i="7"/>
  <c r="N174" i="7"/>
  <c r="I174" i="7"/>
  <c r="N173" i="7"/>
  <c r="I173" i="7"/>
  <c r="J172" i="7"/>
  <c r="N172" i="7" s="1"/>
  <c r="I172" i="7"/>
  <c r="J171" i="7"/>
  <c r="N171" i="7" s="1"/>
  <c r="G171" i="7"/>
  <c r="N170" i="7"/>
  <c r="I170" i="7"/>
  <c r="N169" i="7"/>
  <c r="I169" i="7"/>
  <c r="J168" i="7"/>
  <c r="N168" i="7" s="1"/>
  <c r="I168" i="7"/>
  <c r="J167" i="7"/>
  <c r="N167" i="7" s="1"/>
  <c r="N166" i="7"/>
  <c r="N165" i="7"/>
  <c r="N164" i="7"/>
  <c r="N163" i="7"/>
  <c r="N162" i="7"/>
  <c r="N161" i="7"/>
  <c r="N160" i="7"/>
  <c r="N159" i="7"/>
  <c r="N158" i="7"/>
  <c r="I158" i="7"/>
  <c r="I146" i="7"/>
  <c r="N157" i="7"/>
  <c r="N156" i="7"/>
  <c r="I156" i="7"/>
  <c r="N155" i="7"/>
  <c r="I155" i="7"/>
  <c r="J154" i="7"/>
  <c r="N154" i="7" s="1"/>
  <c r="G154" i="7"/>
  <c r="N153" i="7"/>
  <c r="I153" i="7"/>
  <c r="I145" i="7"/>
  <c r="N152" i="7"/>
  <c r="J151" i="7"/>
  <c r="N151" i="7" s="1"/>
  <c r="I151" i="7"/>
  <c r="J150" i="7"/>
  <c r="N150" i="7" s="1"/>
  <c r="I150" i="7"/>
  <c r="N149" i="7"/>
  <c r="N148" i="7"/>
  <c r="I148" i="7"/>
  <c r="J147" i="7"/>
  <c r="G147" i="7"/>
  <c r="L147" i="7" s="1"/>
  <c r="J144" i="7"/>
  <c r="G144" i="7"/>
  <c r="I115" i="7"/>
  <c r="I143" i="7"/>
  <c r="I142" i="7"/>
  <c r="I84" i="7"/>
  <c r="I114" i="7"/>
  <c r="I99" i="7"/>
  <c r="I112" i="7"/>
  <c r="I105" i="7"/>
  <c r="I104" i="7"/>
  <c r="I141" i="7"/>
  <c r="I132" i="7"/>
  <c r="J131" i="7"/>
  <c r="M7" i="9" s="1"/>
  <c r="I131" i="7"/>
  <c r="I98" i="7"/>
  <c r="I103" i="7"/>
  <c r="I97" i="7"/>
  <c r="I102" i="7"/>
  <c r="I96" i="7"/>
  <c r="I95" i="7"/>
  <c r="I82" i="7"/>
  <c r="I130" i="7"/>
  <c r="I129" i="7"/>
  <c r="I101" i="7"/>
  <c r="I94" i="7"/>
  <c r="I128" i="7"/>
  <c r="I81" i="7"/>
  <c r="I85" i="7"/>
  <c r="I127" i="7"/>
  <c r="N126" i="7"/>
  <c r="I126" i="7"/>
  <c r="N125" i="7"/>
  <c r="F125" i="7"/>
  <c r="I125" i="7" s="1"/>
  <c r="N124" i="7"/>
  <c r="G124" i="7"/>
  <c r="L124" i="7" s="1"/>
  <c r="F124" i="7"/>
  <c r="I123" i="7"/>
  <c r="N122" i="7"/>
  <c r="I122" i="7"/>
  <c r="N121" i="7"/>
  <c r="F121" i="7"/>
  <c r="I121" i="7" s="1"/>
  <c r="N120" i="7"/>
  <c r="F120" i="7"/>
  <c r="N119" i="7"/>
  <c r="H119" i="7"/>
  <c r="I100" i="7"/>
  <c r="I118" i="7"/>
  <c r="M117" i="7"/>
  <c r="M186" i="7" s="1"/>
  <c r="I117" i="7"/>
  <c r="I116" i="7"/>
  <c r="I80" i="7"/>
  <c r="I79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57" i="7"/>
  <c r="I56" i="7"/>
  <c r="I55" i="7"/>
  <c r="G54" i="7"/>
  <c r="I53" i="7"/>
  <c r="I52" i="7"/>
  <c r="I51" i="7"/>
  <c r="I50" i="7"/>
  <c r="G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J21" i="7"/>
  <c r="M8" i="9" s="1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171" i="7" l="1"/>
  <c r="L171" i="7"/>
  <c r="I154" i="7"/>
  <c r="L154" i="7"/>
  <c r="I144" i="7"/>
  <c r="L144" i="7"/>
  <c r="I8" i="9"/>
  <c r="K8" i="9" s="1"/>
  <c r="L49" i="7"/>
  <c r="I54" i="7"/>
  <c r="L54" i="7"/>
  <c r="H186" i="7"/>
  <c r="J7" i="9"/>
  <c r="J9" i="9" s="1"/>
  <c r="I147" i="7"/>
  <c r="I6" i="9"/>
  <c r="Q6" i="9" s="1"/>
  <c r="N147" i="7"/>
  <c r="N186" i="7" s="1"/>
  <c r="M6" i="9"/>
  <c r="M9" i="9" s="1"/>
  <c r="F186" i="7"/>
  <c r="H7" i="9"/>
  <c r="I7" i="9"/>
  <c r="Q7" i="9" s="1"/>
  <c r="I124" i="7"/>
  <c r="I119" i="7"/>
  <c r="G186" i="7"/>
  <c r="L186" i="7" s="1"/>
  <c r="J186" i="7"/>
  <c r="I120" i="7"/>
  <c r="I49" i="7"/>
  <c r="Q8" i="9" l="1"/>
  <c r="H9" i="9"/>
  <c r="K7" i="9"/>
  <c r="K6" i="9"/>
  <c r="K9" i="9" s="1"/>
  <c r="I9" i="9"/>
  <c r="Q9" i="9" s="1"/>
  <c r="I186" i="7"/>
</calcChain>
</file>

<file path=xl/sharedStrings.xml><?xml version="1.0" encoding="utf-8"?>
<sst xmlns="http://schemas.openxmlformats.org/spreadsheetml/2006/main" count="596" uniqueCount="318">
  <si>
    <t>Informe Ejecución convenios 
Recursos Contrapartida administradas por el P.A. FONTUR</t>
  </si>
  <si>
    <t>ESTADO</t>
  </si>
  <si>
    <t>N° CONVENIOS</t>
  </si>
  <si>
    <t>N° APORTANTES</t>
  </si>
  <si>
    <t>APORTE FONTUR AL CONVENIO</t>
  </si>
  <si>
    <t xml:space="preserve">APORTE CONTRAPARTIDA  ADM POR FONTUR </t>
  </si>
  <si>
    <t xml:space="preserve">OTROS APORTES CONTRAPARTIDA NO ADMINISTRADOS POR FONTUR </t>
  </si>
  <si>
    <t>VALOR TOTAL CONVENIO</t>
  </si>
  <si>
    <t xml:space="preserve">RECURSOS RECIBIDOS CONTRAPARTIDA  </t>
  </si>
  <si>
    <t xml:space="preserve">RECURSOS EJECUTADOS CONTRAPARTIDA </t>
  </si>
  <si>
    <t>% EJ</t>
  </si>
  <si>
    <t>(A)</t>
  </si>
  <si>
    <t>(B)</t>
  </si>
  <si>
    <t>(C )</t>
  </si>
  <si>
    <t>(A+B+C)</t>
  </si>
  <si>
    <t>(B1)</t>
  </si>
  <si>
    <t>(B2)</t>
  </si>
  <si>
    <t>(B2/B)</t>
  </si>
  <si>
    <t>Vigente</t>
  </si>
  <si>
    <t>En liquidación</t>
  </si>
  <si>
    <t>Liquidado</t>
  </si>
  <si>
    <t>TOTAL GENERAL</t>
  </si>
  <si>
    <t>Cifras en pesos $</t>
  </si>
  <si>
    <t>Rendimientos Financieros</t>
  </si>
  <si>
    <t>MES</t>
  </si>
  <si>
    <t>VALOR REDNIMIENTOS</t>
  </si>
  <si>
    <t>CONVENIOS RECURSOS CONTRAPARTIDAS ADM POR FONTUR</t>
  </si>
  <si>
    <t>VALOR CONVENIOS</t>
  </si>
  <si>
    <t>RENDIMIENTOS (*)</t>
  </si>
  <si>
    <t>No.</t>
  </si>
  <si>
    <t>CONVENIO</t>
  </si>
  <si>
    <t>No. CONVENIOS</t>
  </si>
  <si>
    <t>APORTE FONTUR</t>
  </si>
  <si>
    <t>APORTE CONTRAPARTE</t>
  </si>
  <si>
    <t>OTROS APORTES NO ADM X FONTUR</t>
  </si>
  <si>
    <t>TOTAL VALOR CONVENIO</t>
  </si>
  <si>
    <t>RECURSOS ENTREGADOS CONTRAPARTE</t>
  </si>
  <si>
    <t>RECURSOS EJECUTADOS CONTRAPARTIDA</t>
  </si>
  <si>
    <t>RECURSOS REINTEGRADOS CONTRAPARTE</t>
  </si>
  <si>
    <t>SALDO POR EJECUTAR (*)</t>
  </si>
  <si>
    <t>ENERO DE 2024</t>
  </si>
  <si>
    <t xml:space="preserve">TOTAL RENDIMIENTOS </t>
  </si>
  <si>
    <t>Construcción Muelle Turístico Viejo Peñol</t>
  </si>
  <si>
    <t>FPT-211-2012</t>
  </si>
  <si>
    <t>Diseños Malecón Alameda Quibdó</t>
  </si>
  <si>
    <t>FPT-218A-2012</t>
  </si>
  <si>
    <t>Construcción de la Plazoleta Turística y Cultural los Guanes del Municipio de los Santos</t>
  </si>
  <si>
    <t>FPT-239-2012</t>
  </si>
  <si>
    <t>Centro de Convenciones de Popayán</t>
  </si>
  <si>
    <t>FPT-249-2012</t>
  </si>
  <si>
    <t>FPT-257-2012</t>
  </si>
  <si>
    <t>Termales de Nemocón</t>
  </si>
  <si>
    <t>FPT-154-2013</t>
  </si>
  <si>
    <t>Consultoria para la elaboración de un estudio de viabilidad del Parque Temático religioso como nuevo atractivo turístico de Buga</t>
  </si>
  <si>
    <t>FPT-330-2013</t>
  </si>
  <si>
    <t>Diseño Centro de Convenciones de Ibagué</t>
  </si>
  <si>
    <t>FPT-332-2013</t>
  </si>
  <si>
    <t>Adecuación Parque el Gallineral</t>
  </si>
  <si>
    <t>FPT-278-2012</t>
  </si>
  <si>
    <t>Centro empresarial de Arauca</t>
  </si>
  <si>
    <t>FNT-322-2014</t>
  </si>
  <si>
    <t>Estudios y diseños para la señalización turística del Municipio de Ibagué Capital musical de Colombia</t>
  </si>
  <si>
    <t>FNT-134-2015</t>
  </si>
  <si>
    <t>Infraestructura Eco Turística del Santuario de Flora Isla la Corota Departamento de Nariño, Municipio de Pasto, Corregimiento del Encano</t>
  </si>
  <si>
    <t>FNT-256-2015</t>
  </si>
  <si>
    <t>Implementación y certificación de la norma técnica sectorial de turismo sostenible NTS TS 002 en 30 establecimientos de alojamiento y hospedaje en  Melgar, Tolima</t>
  </si>
  <si>
    <t>FNT-250-2016</t>
  </si>
  <si>
    <t>Estudio de competitividad en el transporte aéreo</t>
  </si>
  <si>
    <t>FNT-095-2015</t>
  </si>
  <si>
    <t>Diseño de Producto Turístico para el Huila</t>
  </si>
  <si>
    <t>FNT-063A-2016</t>
  </si>
  <si>
    <t>Diseño del producto turístico religioso: Santuario Santa Laura Montoya</t>
  </si>
  <si>
    <t xml:space="preserve">FNT-098-2016 </t>
  </si>
  <si>
    <t>Centro de convenciones Casa de la Moneda de Popayán</t>
  </si>
  <si>
    <t>FNT-54-2014 (214007)</t>
  </si>
  <si>
    <t xml:space="preserve"> Implementación Norma Técnica Sectorial Colombiana NTS TS001-1,  Armenia, Quindio</t>
  </si>
  <si>
    <t xml:space="preserve">FNTC-116-2017 </t>
  </si>
  <si>
    <t>Diseño del producto turístico de naturaleza para 40 Municipios de Antioquia</t>
  </si>
  <si>
    <t xml:space="preserve">FNTC-103-2017 </t>
  </si>
  <si>
    <t>Implementación de las NTS TS 002-003-004, Taganga y certificación virtual a través de la plataforma WEB</t>
  </si>
  <si>
    <t>FNT-246-2016</t>
  </si>
  <si>
    <t xml:space="preserve"> Implementación de la Norma Técnica NTS- TS-001-1, en el Municipio de Guatapé</t>
  </si>
  <si>
    <t>FNTC-168-2018</t>
  </si>
  <si>
    <t>Estudios y diseños del parque turístico y agroindustrial en Monteria</t>
  </si>
  <si>
    <t>FPT-269-2012</t>
  </si>
  <si>
    <t>Diseño del centro interpretativo de la ruta del café en la estación san francisco de Chinchiná, paisaje cultural cafetero, Colombia</t>
  </si>
  <si>
    <t>FNT-324-2014</t>
  </si>
  <si>
    <t>Implementación de la Norma Técnica sectorial NTS-TS 001-2 en Playa aeropuerto, Bahía centro y Taganga</t>
  </si>
  <si>
    <t>FNTC-192-2017</t>
  </si>
  <si>
    <t>Promoción turística para los municipios de Duitama-Paipa 2017</t>
  </si>
  <si>
    <t>FNTC-157-2017</t>
  </si>
  <si>
    <t xml:space="preserve"> Implementación de Normas Técnicas Sectoriales Colombianas en el Municipio de Santiago de Cali</t>
  </si>
  <si>
    <t>FNTC-134-2018</t>
  </si>
  <si>
    <t xml:space="preserve">Implementación de la NTS TS 001-1 en un área turistica delimitada dentro del municipio de Chinchiná Caldas  </t>
  </si>
  <si>
    <t>FNTC-106-2018</t>
  </si>
  <si>
    <t>Certificación TS TS002, 003, 004 Y 005 de Cartagena</t>
  </si>
  <si>
    <t>FNTC-209-2017</t>
  </si>
  <si>
    <t>Inventario de las Aves de la Reserva Natural de Aves el Hormiguero de Torcoroma y la Vereda Peritama en el Municipio de Ocaña</t>
  </si>
  <si>
    <t xml:space="preserve">FNTC-128-2018  </t>
  </si>
  <si>
    <t>Estudio de ordenamiento para cuatro (4) playas turísticas del Departamento de Antioquia</t>
  </si>
  <si>
    <t>FNTC-198-2017</t>
  </si>
  <si>
    <t>Diseño del producto turístico de la Provincia de Sugamuxi</t>
  </si>
  <si>
    <t xml:space="preserve">FNTC-154-2017 </t>
  </si>
  <si>
    <t>Plan de Desarrollo Turístico de Barrancabermeja al Año 2027</t>
  </si>
  <si>
    <t>FNTC-188-2017</t>
  </si>
  <si>
    <t>Diseño del producto turístico nautico y fluvial del Departamento de Córdoba</t>
  </si>
  <si>
    <t>FNT-258-2016</t>
  </si>
  <si>
    <t>Implementación y posterior certificación de la NTS-TS 001-1 en el destino turístico Cañón del Combeima.</t>
  </si>
  <si>
    <t>FNTC-190-2017</t>
  </si>
  <si>
    <t>Construccion de la Tercera Etapa del "Ecoparque Mirador Colina Iluminada"</t>
  </si>
  <si>
    <t>FNTC-170-2017</t>
  </si>
  <si>
    <t>Construcción de la Alameda de las Nieves en el Municipio de Giron - Santander</t>
  </si>
  <si>
    <t>FNT-083-2015</t>
  </si>
  <si>
    <t>Infraestructura EcoTurística del Santuario de Flora Isla la Corota Departamento de Nariño, Municipio de Pasto</t>
  </si>
  <si>
    <t xml:space="preserve">FNT-232-2016 </t>
  </si>
  <si>
    <t>Asistencia técnica para la ejecución del proyecto denominado Fortalecimiento de la promoción turística en el Municipio de Barichara Santander</t>
  </si>
  <si>
    <t>FNTC-225-2019</t>
  </si>
  <si>
    <t>Plan de Desarrollo Turístico del Municipio de Neiva 2019-2029</t>
  </si>
  <si>
    <t>FNTC-154-2018</t>
  </si>
  <si>
    <t>Plan de Desarrollo Turístico Convencional para el Municipio del Libano Tolima, 2019-2029</t>
  </si>
  <si>
    <t>FNTC-104-2019</t>
  </si>
  <si>
    <t>Implementación de las Normas Técnicas Sectoriales Colombianas NTS TS 001-1 en  Medellín</t>
  </si>
  <si>
    <t>FNTC-167-2018</t>
  </si>
  <si>
    <t>Estudios y diseños del parque interactivo - Floralia en el municipio de Fusagasugá</t>
  </si>
  <si>
    <t>FPT-355-2013</t>
  </si>
  <si>
    <t>Estudio de vocacion turística del Municipio de Sabana de Torres Santander</t>
  </si>
  <si>
    <t>FNTC-004-2020</t>
  </si>
  <si>
    <t xml:space="preserve">Diseño e implementación del producto turístico para el Municipio de Armenia y Manizales </t>
  </si>
  <si>
    <t>FNT-249-2016</t>
  </si>
  <si>
    <t>Convención Salvaguardia del Patrimonio Cultural Unesco</t>
  </si>
  <si>
    <t>FNTC- 109-2019</t>
  </si>
  <si>
    <t>Participación de Bogotá en la XXXIX Vitrina turistica de Anato</t>
  </si>
  <si>
    <t>FNTC-021-2020</t>
  </si>
  <si>
    <t>Diseño de Producto Turístico de Cultura y Naturaleza para el Departamento de Casanare</t>
  </si>
  <si>
    <t>FNTC-127-2017</t>
  </si>
  <si>
    <t>1ª fase de la Restauración de la Estación San Francisco de la Ruta del Café en Chinchiná-Caldas</t>
  </si>
  <si>
    <t>FNTC-161-2017</t>
  </si>
  <si>
    <t xml:space="preserve"> Estrategia de comunicaciones, divulgacion y de BTL de la economía naranja</t>
  </si>
  <si>
    <t>FNTC-256-2019</t>
  </si>
  <si>
    <t>Construcción del Recinto Gastronómico y Artesanal Villa de Nueva de Salento</t>
  </si>
  <si>
    <t>FNTC-169-2017</t>
  </si>
  <si>
    <t>Diseño del plan promocional en redes digitales del Municipio de Uribia - la Guajira</t>
  </si>
  <si>
    <t>FNTC-259-2019</t>
  </si>
  <si>
    <t>Construcción del Muelle Johny Cay</t>
  </si>
  <si>
    <t>FNTC-118-2019</t>
  </si>
  <si>
    <t xml:space="preserve"> SELLO “CHECK IN CERTIFICADO”</t>
  </si>
  <si>
    <t>FNTC-089-2021</t>
  </si>
  <si>
    <t>Embarcadero Turístico en el área de la salvajina, Morales, Cauca</t>
  </si>
  <si>
    <t>FNTC-194-2017</t>
  </si>
  <si>
    <t>PLAN PROMOCIONAL DE ANAPOIMA – CUNDINAMARCA COMO DESTINO TURÍSTICO DE
BIENESTAR”</t>
  </si>
  <si>
    <t>FNTC-045-2021</t>
  </si>
  <si>
    <t>Restauración del Teatro Municipal del Municipio de el Jardín, Antioquia</t>
  </si>
  <si>
    <t>FNT-141-2015</t>
  </si>
  <si>
    <t>Estudio de carga de los principales atractivos turísticos de los Mun de Barichara, Cépita y Curití, mejoraramiento de la competitividad en su oferta</t>
  </si>
  <si>
    <t>FNTC-032-2020</t>
  </si>
  <si>
    <t xml:space="preserve">Construcción Sendero Eco-Turístico Cerro de Mavicure, Departamento de Guainía </t>
  </si>
  <si>
    <t>FNTC-174-2018</t>
  </si>
  <si>
    <t>Recuperación ambiental y paisajística de la rivera del rio Sinú, Municipio de Santa Cruz de Lorica - Departamento de Córdoba</t>
  </si>
  <si>
    <t>FPT-353-2013</t>
  </si>
  <si>
    <t>Diplomado en gestion integral de turismo para el Municipio de Jamundí</t>
  </si>
  <si>
    <t>FNTC-253-2019</t>
  </si>
  <si>
    <t xml:space="preserve"> Identificacion de buenas practicas de turismo sostenible en empresas reconocidas de Municipios  de Santander</t>
  </si>
  <si>
    <t>FNTC-136-2019</t>
  </si>
  <si>
    <t xml:space="preserve"> FNTC-247-2020</t>
  </si>
  <si>
    <t>FNTC-040-2021</t>
  </si>
  <si>
    <t>FNTC-288-2020</t>
  </si>
  <si>
    <t>PROM SECTOR TURISMO DE CUNDINAMARCA REACTIVACION EN TIEMPOS DE COVID</t>
  </si>
  <si>
    <t xml:space="preserve">FNTC-290-2020 </t>
  </si>
  <si>
    <t>FNTC-250-2021 Realizar remodelación y adecuación de Malecón en el Municipio de Yaguará (Huila)</t>
  </si>
  <si>
    <t>FNTC-250-2021</t>
  </si>
  <si>
    <t>Espacios de formación e instrucción que fomenten el potencial, las habilidades y las capacidades de los jóvenes en relación con el emprendimiento social, el turismo, la economía naranja, acorde con las necesidades del territorio y los propósitos de la Estrategia sacúdete</t>
  </si>
  <si>
    <t>FNTC-199-2020</t>
  </si>
  <si>
    <t>Promoción Turística Nacional del Departamento de Magdalena 2017</t>
  </si>
  <si>
    <t>FNTC-197-2017</t>
  </si>
  <si>
    <t xml:space="preserve">FNTC-168-2021 curso especializado en turismo cultural e histórico y emprendimiento sostenible </t>
  </si>
  <si>
    <t>FNTC-168-2021</t>
  </si>
  <si>
    <t xml:space="preserve"> Plan de
Desarrollo Turístico convencional para los Municipios de Mocoa y Villa Garzón</t>
  </si>
  <si>
    <t>FNTC-181-2020</t>
  </si>
  <si>
    <t xml:space="preserve">Acciones de promoción recuperación del sector turístico de Bogotá </t>
  </si>
  <si>
    <t>FNTC-291-2020</t>
  </si>
  <si>
    <t>FNTC-261-2021 realizar las actividades del proyecto FNTP-181-2019 "investigación del mercado eco-turistico"</t>
  </si>
  <si>
    <t>FNTC-261-2021</t>
  </si>
  <si>
    <t>FNTC-342-2021 Punto de información turística tipo tótem digital</t>
  </si>
  <si>
    <t>FNTC-342-2021</t>
  </si>
  <si>
    <t>DIPLOMADO VIRTUAL EN APROPIACIÓN DE LA CULTURA MUISCA</t>
  </si>
  <si>
    <t>FNTC-289-2020</t>
  </si>
  <si>
    <t>FNTC-308-2021 Realizar las actividades del proyecto FNTP-036-2021 "Promoción del Municipio Jardin como pueblo patrimonio de Colombia"</t>
  </si>
  <si>
    <t>FNTC-308-2021</t>
  </si>
  <si>
    <t>Diseño del producto turístico de la ruta de la cuenca del rio Cusiana</t>
  </si>
  <si>
    <t xml:space="preserve">FNTC-300A-2020 </t>
  </si>
  <si>
    <t xml:space="preserve"> FNTC-255-2020</t>
  </si>
  <si>
    <t>FNTC-292-2020</t>
  </si>
  <si>
    <t>FNTC-293-2020</t>
  </si>
  <si>
    <t>FNTC-297-2020</t>
  </si>
  <si>
    <t xml:space="preserve"> CERTIFICACIÓN SELLO CHECK IN CERTIFICADO</t>
  </si>
  <si>
    <t>FNTC-226-2020</t>
  </si>
  <si>
    <t>FNTC-300-2020</t>
  </si>
  <si>
    <t>Infraestructura Turística Serranía del Alto del Nudo, como destino de turismo de naturaleza</t>
  </si>
  <si>
    <t>FNTC-175-2017</t>
  </si>
  <si>
    <t>FNTC-270-2020</t>
  </si>
  <si>
    <t>FNTC-296-2020</t>
  </si>
  <si>
    <t>FNTC-233-2020</t>
  </si>
  <si>
    <t>Certificación de Protocolos de Bioseguridad</t>
  </si>
  <si>
    <t>FNTC-243-2020</t>
  </si>
  <si>
    <t>FNTC-266-2020</t>
  </si>
  <si>
    <t xml:space="preserve">FNTC-269-2020 </t>
  </si>
  <si>
    <t>FNTC-274-2021 SELLO "CHECK IN CERTIFICADO"</t>
  </si>
  <si>
    <t>FNTC-274-2021</t>
  </si>
  <si>
    <t>Elaborar los estudios para el plan de ordenamiento y gestión de playas del sector urbano centro y playa de pueblito sector playa mansa del Municipio de Moñitos – Córdoba.</t>
  </si>
  <si>
    <t>FNTC-164-2021</t>
  </si>
  <si>
    <t>Construcción Senderos Caño Cristales</t>
  </si>
  <si>
    <t>FNT-264-2016</t>
  </si>
  <si>
    <t>Centro de Convenciones "Neomundo" - Bucaramanga</t>
  </si>
  <si>
    <t>FNT-328-2014</t>
  </si>
  <si>
    <t>Renovación y transformación integral de la Plaza de mercado José Hilario López de Buenaventura</t>
  </si>
  <si>
    <t>FNT-233-2015</t>
  </si>
  <si>
    <t>Adecuación Plaza Central Parque Centenario de Ciénaga</t>
  </si>
  <si>
    <t>FNTC-187-2017</t>
  </si>
  <si>
    <t>Construcción de Senderos para el Avistamiento de Aves, Departamento de Arauca</t>
  </si>
  <si>
    <t>FNTC-174-2017</t>
  </si>
  <si>
    <t>Teatro de Santa Marta</t>
  </si>
  <si>
    <t>FPT-268-2012</t>
  </si>
  <si>
    <t xml:space="preserve"> Señalización Turística Peatonal del Centro de Popayán</t>
  </si>
  <si>
    <t>FNTC-084A-2019</t>
  </si>
  <si>
    <t>Construcción de obras complementarias  Santuario de Flora y Fauna los Colorados , San Juan de Nepomuceno</t>
  </si>
  <si>
    <t>FNTC-196-2017</t>
  </si>
  <si>
    <t>Restauración del Muelle de Puerto Colombia, Atlántico</t>
  </si>
  <si>
    <t xml:space="preserve">FNT-214-2016 </t>
  </si>
  <si>
    <t>Construccion de la Base Naútica de Necoclí</t>
  </si>
  <si>
    <t>FNTC-195-2017</t>
  </si>
  <si>
    <t>Asistencia tecnica para el fortalecimiento ecoturístico del Ecosistema estrategico, Playa Blanca Lago de Tota</t>
  </si>
  <si>
    <t>FNTC-168-2017</t>
  </si>
  <si>
    <t>Construcción, Suministro, e Instalación del Sistema de Señalización Turística peatonal del Municipio de Paipa</t>
  </si>
  <si>
    <t>FNTC-044-2019</t>
  </si>
  <si>
    <t>Centro de Ferias y Exposiciones Expoferias de Manizales</t>
  </si>
  <si>
    <t>FNT-206-2014</t>
  </si>
  <si>
    <t>FNTC-271-2020</t>
  </si>
  <si>
    <t>PROMOCION TURISTICA DE RIOHACHA</t>
  </si>
  <si>
    <t>FNTC-284-2020</t>
  </si>
  <si>
    <t xml:space="preserve"> FNTC-240-2020</t>
  </si>
  <si>
    <t>FNTC-178-2021 Diseño del producto turistico para la provincia de marquez Dpto Boyaca</t>
  </si>
  <si>
    <t>FNTC-178-2021</t>
  </si>
  <si>
    <t>FNTC-351-2021 certificación del sello "CHECK IN CERTIFICADO"</t>
  </si>
  <si>
    <t>FNTC-351-2021</t>
  </si>
  <si>
    <t>Adecuación y obras complementarias a los Senderos Ancestrales Ecoturísticos en el municipio de Envigado</t>
  </si>
  <si>
    <t>FNTC-095-2018</t>
  </si>
  <si>
    <t>FNTC-283-2020</t>
  </si>
  <si>
    <t>Construcción del  Parque Interactivo Floralia, Mun.  Fusagasuga</t>
  </si>
  <si>
    <t>FNTC-106-2019</t>
  </si>
  <si>
    <t>“Promoción de Antioquia es mágica en el marco de la reactivación turística del Departamento"</t>
  </si>
  <si>
    <t>FNTC-135-2021</t>
  </si>
  <si>
    <t>FNTC-327-2021 CONSTRUCCIÓN DEL MIRADOR TURISTICO Y PAISAJISTICO DE SAN JOSÉ</t>
  </si>
  <si>
    <t>FNTC-327-2021</t>
  </si>
  <si>
    <t>Construcción y Adecuación Plaza Nueva, Mun, La Tebaida Quindío</t>
  </si>
  <si>
    <t>FNTC-117-2019</t>
  </si>
  <si>
    <t xml:space="preserve">POSICIONAMIENTO Y PROMOCIÓN DEL DEPARTAMENTO DEL MAGDALENA Y DEL DISTRITO DE SANTA MARTA </t>
  </si>
  <si>
    <t>FNTC- 286-2020</t>
  </si>
  <si>
    <t>ESTRATEGIA DE PROMOCION DEL DPTO NARIÑO RECORRE NARIÑO DESCUBRE SU MAGIA</t>
  </si>
  <si>
    <t>FNTC-303-2020</t>
  </si>
  <si>
    <t>PLAN MAESTRO DE TURISMO DE VILLAVIEJA - HUILA</t>
  </si>
  <si>
    <t>FNTC-080-2021</t>
  </si>
  <si>
    <t>FNTC-147-2021 Construir el recinto de módulos de venta y comercialización de productos gastronomicos artesanales y experienciales del mun de quimbaya</t>
  </si>
  <si>
    <t>FNTC-147-2021</t>
  </si>
  <si>
    <t>FNTC-171-2021 Construir el recinto de módulos de venta y comercialización de productos gastronomicos artesanales y experienciales del mun de pijao</t>
  </si>
  <si>
    <t>FNTC-171-2021</t>
  </si>
  <si>
    <t>Construir el recinto de módulos de venta y comercialización de productos gastronomicos artesanales y experienciales del mun de montenegro</t>
  </si>
  <si>
    <t>FNTC-148-2021</t>
  </si>
  <si>
    <t>FNTC-271-2021 CONTRUCCIÓN RECINTO GASTRONOMICO MUNICIPIO SANTA ROSA DE CABAL</t>
  </si>
  <si>
    <t>FNTC-271-2021</t>
  </si>
  <si>
    <t>FNTC-328-2021 Diseñar el producto turistico de la ruta del bajo SINU</t>
  </si>
  <si>
    <t>FNTC-328-2021</t>
  </si>
  <si>
    <t>FNTC-333-2021 Construcción de obras de espacio público para la consolidación de la Ruta del Achira</t>
  </si>
  <si>
    <t>FNTC-333-2021</t>
  </si>
  <si>
    <t>FNTC-344-2021 Realizar las actividades del proyecto FNTP-080-2021, desarrollo de estrategias de promoción turística nacional en el Departamento de Casanare</t>
  </si>
  <si>
    <t>FNTC-344-2021</t>
  </si>
  <si>
    <t>FNTC-337-2021 Mirador de las cometas en el Municipio de la Virginia (Risaralda)</t>
  </si>
  <si>
    <t>FNTC-337-2021</t>
  </si>
  <si>
    <t>FNTC-330-2021 Recuperación, mejoramiento y mantenimiento del inmueble declarado BIC del ámbito nacional</t>
  </si>
  <si>
    <t>FNTC-330-2021</t>
  </si>
  <si>
    <t>FNTC-343-2021 Implementación de la norma técnica sectorial en turismo sostenible NTS-TS 001-1</t>
  </si>
  <si>
    <t>FNTC-343-2021</t>
  </si>
  <si>
    <t xml:space="preserve">FNTC-325-2021 CONSTRUCCIÓN DE UNA INFRAESTRUCTURA TURISTICA EN EL PARQUE EL CLAVEL </t>
  </si>
  <si>
    <t>FNTC-325-2021</t>
  </si>
  <si>
    <t>FNTC-338-2021 Construcción y adecuación de un parque lineal sobre la margen izquierda del rio "Monos" del municipio de la Celia - Risaralda</t>
  </si>
  <si>
    <t>FNTC-338-2021</t>
  </si>
  <si>
    <t>FNTC-350-2021 restauración integral de la casa de la cultura "casa museo" de Jardín</t>
  </si>
  <si>
    <t>FNTC-350-2021</t>
  </si>
  <si>
    <t>FNTC-141-2022 impulsar la competitividad del sector turismo del Dpto Antioquia</t>
  </si>
  <si>
    <t>FNTC-141-2022</t>
  </si>
  <si>
    <t>FNTC-188-2022 Diseño producto turístico Mun Granada - Meta</t>
  </si>
  <si>
    <t>FNTC-188-2022</t>
  </si>
  <si>
    <t xml:space="preserve">FNTC-074-2021 CONSTRUCCIÓN CENTRO DE ARTES Y CULTURA DEL MUNICIPIO DE ISNOS </t>
  </si>
  <si>
    <t>FNTC-074-2021</t>
  </si>
  <si>
    <t>FNTC-139-2023 CONSTRUCCIÓN Y ADECUACIÓN LA PLAZOLETA REGIONAL DE LA PAZ</t>
  </si>
  <si>
    <t>vigente</t>
  </si>
  <si>
    <t>FNTC-139-2023</t>
  </si>
  <si>
    <t>FNTC 200-2023 CONSTRUCCIÓN E IMPLEMENTACIÓN DEL ECOPARQUE EL VERGEL</t>
  </si>
  <si>
    <t>FNTC-200-2023</t>
  </si>
  <si>
    <t>FNTC-202-2023 CONSTRUCCIÓN DEL MIRADOR TURISTICO, EN LA ZONA DE EXPANSIÓN TURÍSTICA DEL MUNICIPIO DE ARBOLETES</t>
  </si>
  <si>
    <t>FNTC-202-2023</t>
  </si>
  <si>
    <t>FNTC-204-2023 CONSTRUCCIÓN DEL CENTRO TEMÁTICO CHICAO COMO ESCENARIO DE PROMOCIÓN INTERCULTURAL, TURÍSTICO Y DE EMPRENDIMIENTO EN EL MUNICIPIO DE SANTANDER DE QUILICHAO</t>
  </si>
  <si>
    <t>FNTC-204-2023</t>
  </si>
  <si>
    <t>FNTC-215-2023 IMPLEMENTACIÓN DE LA SEÑALIZACIÓN PEATONAL DE LOS ATRACTIVOS TURÍSTICOS DEL SECTOR HISTÓRICO DEL MUNICIPIO DE POPAYÁN</t>
  </si>
  <si>
    <t>FNTC-215-2023</t>
  </si>
  <si>
    <t>FNTC-468-2023 EJECUCIÓN DE UN DIPLOMADO EN DISEÑO DE EXPERIENCIAS CREATIVAS Y TURISMO CULTURAL</t>
  </si>
  <si>
    <t>FNTC-468-2023</t>
  </si>
  <si>
    <t>FNTC-495-2023 PROCESOS DE SOSTENIBILIDAD EN PRESTADORES DE SERVICIOS TURÍSTICOS DE CARTAGENA Y  BOLÍVAR - GREEN COTELCO CAPÍTULO CARTAGENA BOLÍVAR</t>
  </si>
  <si>
    <t>FNTC-495-2023</t>
  </si>
  <si>
    <t xml:space="preserve">TOTAL </t>
  </si>
  <si>
    <t>Cifras en Pesos $</t>
  </si>
  <si>
    <t>(*) Se relacionan los rendimientos generados mensualmente en las cuentas donde el aporte de la contraparte es administrado. En donde no se realcionan valores, corresponde a convenios donde a la fecha se ha realizado el reintegro de recursos no ejecutados y rendimientos financieros , por lo que la cuenta bnacaria se encuentra cancelada</t>
  </si>
  <si>
    <t>Corte 31/1/2024</t>
  </si>
  <si>
    <t>(**) Los rendimientos son reintegrados a los cooperantes una vez finalizado el convenio</t>
  </si>
  <si>
    <t xml:space="preserve">Los convenios que tiene giro periodico de rendimientos de acuerdo con lo establecido son los siguientes: </t>
  </si>
  <si>
    <t xml:space="preserve">(*) Corresponde es al Saldo por ejecutar de los recursos de contrapartidas, cuyos conceptod de ejecución incluye pago de comisiones, GMF, pagos contratistas. </t>
  </si>
  <si>
    <t>FPT 268-2012</t>
  </si>
  <si>
    <t>FNTC 195-2017</t>
  </si>
  <si>
    <t>FNT 214-2016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</si>
</sst>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,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b/>
      <sz val="10"/>
      <color theme="0"/>
      <name val="Segoe UI Semilight"/>
      <family val="2"/>
    </font>
    <font>
      <sz val="10"/>
      <color rgb="FF000000"/>
      <name val="Segoe UI Semilight"/>
      <family val="2"/>
    </font>
    <font>
      <b/>
      <sz val="8"/>
      <name val="Segoe UI Semilight"/>
      <family val="2"/>
    </font>
    <font>
      <b/>
      <sz val="10"/>
      <name val="Segoe UI Semilight"/>
      <family val="2"/>
    </font>
    <font>
      <b/>
      <sz val="9"/>
      <name val="Segoe UI Semilight"/>
      <family val="2"/>
    </font>
    <font>
      <sz val="8.5"/>
      <color theme="1"/>
      <name val="Segoe UI Semilight"/>
      <family val="2"/>
    </font>
    <font>
      <b/>
      <sz val="8.5"/>
      <color theme="1"/>
      <name val="Segoe UI Semilight"/>
      <family val="2"/>
    </font>
    <font>
      <sz val="8.5"/>
      <name val="Segoe UI Semilight"/>
      <family val="2"/>
    </font>
    <font>
      <sz val="8"/>
      <color theme="1"/>
      <name val="Segoe UI Semilight"/>
      <family val="2"/>
    </font>
    <font>
      <b/>
      <sz val="8"/>
      <color theme="1"/>
      <name val="Segoe UI Semilight"/>
      <family val="2"/>
    </font>
    <font>
      <i/>
      <sz val="8.5"/>
      <color theme="1"/>
      <name val="Segoe UI Semilight"/>
      <family val="2"/>
    </font>
    <font>
      <i/>
      <sz val="10"/>
      <color theme="1"/>
      <name val="Segoe UI Semilight"/>
      <family val="2"/>
    </font>
    <font>
      <b/>
      <sz val="8"/>
      <color rgb="FFFFFFFF"/>
      <name val="Verdana"/>
      <family val="2"/>
    </font>
    <font>
      <i/>
      <sz val="9"/>
      <name val="Segoe UI Semilight"/>
      <family val="2"/>
    </font>
    <font>
      <sz val="9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226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 wrapText="1" readingOrder="1"/>
    </xf>
    <xf numFmtId="9" fontId="6" fillId="0" borderId="0" xfId="2" applyFont="1" applyFill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9" fontId="4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 readingOrder="1"/>
    </xf>
    <xf numFmtId="0" fontId="4" fillId="0" borderId="5" xfId="0" applyFont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9" fontId="7" fillId="0" borderId="5" xfId="2" applyFont="1" applyFill="1" applyBorder="1" applyAlignment="1">
      <alignment horizontal="center" vertical="center" wrapText="1" readingOrder="1"/>
    </xf>
    <xf numFmtId="0" fontId="9" fillId="5" borderId="2" xfId="0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9" fontId="9" fillId="5" borderId="2" xfId="2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right" vertical="center" wrapText="1"/>
    </xf>
    <xf numFmtId="38" fontId="11" fillId="2" borderId="2" xfId="0" applyNumberFormat="1" applyFont="1" applyFill="1" applyBorder="1" applyAlignment="1">
      <alignment horizontal="right" vertical="center" wrapText="1"/>
    </xf>
    <xf numFmtId="43" fontId="11" fillId="0" borderId="2" xfId="1" applyFont="1" applyBorder="1" applyAlignment="1">
      <alignment horizontal="right" vertical="center" wrapText="1"/>
    </xf>
    <xf numFmtId="10" fontId="14" fillId="0" borderId="2" xfId="2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/>
    <xf numFmtId="43" fontId="11" fillId="2" borderId="2" xfId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40" fontId="11" fillId="0" borderId="2" xfId="0" applyNumberFormat="1" applyFont="1" applyBorder="1" applyAlignment="1">
      <alignment horizontal="right" vertical="center" wrapText="1"/>
    </xf>
    <xf numFmtId="38" fontId="13" fillId="2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164" fontId="15" fillId="4" borderId="2" xfId="1" applyNumberFormat="1" applyFont="1" applyFill="1" applyBorder="1" applyAlignment="1">
      <alignment vertical="center"/>
    </xf>
    <xf numFmtId="10" fontId="15" fillId="4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/>
    <xf numFmtId="43" fontId="14" fillId="0" borderId="0" xfId="1" applyFont="1"/>
    <xf numFmtId="0" fontId="16" fillId="0" borderId="0" xfId="0" applyFont="1" applyAlignment="1">
      <alignment vertical="center"/>
    </xf>
    <xf numFmtId="0" fontId="17" fillId="0" borderId="0" xfId="0" applyFont="1"/>
    <xf numFmtId="43" fontId="11" fillId="0" borderId="0" xfId="0" applyNumberFormat="1" applyFont="1"/>
    <xf numFmtId="0" fontId="18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 readingOrder="1"/>
    </xf>
    <xf numFmtId="3" fontId="4" fillId="0" borderId="5" xfId="1" applyNumberFormat="1" applyFont="1" applyFill="1" applyBorder="1" applyAlignment="1">
      <alignment horizontal="right" vertical="center" wrapText="1" readingOrder="1"/>
    </xf>
    <xf numFmtId="3" fontId="7" fillId="0" borderId="6" xfId="0" applyNumberFormat="1" applyFont="1" applyBorder="1" applyAlignment="1">
      <alignment horizontal="right" vertical="center" wrapText="1" readingOrder="1"/>
    </xf>
    <xf numFmtId="3" fontId="7" fillId="0" borderId="0" xfId="0" applyNumberFormat="1" applyFont="1" applyAlignment="1">
      <alignment horizontal="right" vertical="center" wrapText="1" readingOrder="1"/>
    </xf>
    <xf numFmtId="3" fontId="4" fillId="0" borderId="0" xfId="0" applyNumberFormat="1" applyFont="1" applyAlignment="1">
      <alignment horizontal="right" vertical="center" wrapText="1" readingOrder="1"/>
    </xf>
    <xf numFmtId="3" fontId="9" fillId="5" borderId="2" xfId="0" applyNumberFormat="1" applyFont="1" applyFill="1" applyBorder="1" applyAlignment="1">
      <alignment horizontal="right" vertical="center" wrapText="1" readingOrder="1"/>
    </xf>
    <xf numFmtId="3" fontId="9" fillId="5" borderId="7" xfId="0" applyNumberFormat="1" applyFont="1" applyFill="1" applyBorder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164" fontId="13" fillId="0" borderId="2" xfId="1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17" fontId="4" fillId="0" borderId="3" xfId="0" applyNumberFormat="1" applyFont="1" applyBorder="1" applyAlignment="1">
      <alignment horizontal="center" vertical="center" wrapText="1"/>
    </xf>
    <xf numFmtId="164" fontId="9" fillId="5" borderId="2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right" vertical="center" wrapText="1" readingOrder="1"/>
    </xf>
    <xf numFmtId="0" fontId="18" fillId="6" borderId="5" xfId="0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8" fontId="11" fillId="0" borderId="3" xfId="0" applyNumberFormat="1" applyFont="1" applyBorder="1" applyAlignment="1">
      <alignment horizontal="right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 wrapText="1"/>
    </xf>
    <xf numFmtId="38" fontId="13" fillId="0" borderId="4" xfId="0" applyNumberFormat="1" applyFont="1" applyBorder="1" applyAlignment="1">
      <alignment horizontal="right" vertical="center" wrapText="1"/>
    </xf>
    <xf numFmtId="38" fontId="11" fillId="0" borderId="5" xfId="0" applyNumberFormat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center" vertical="center" wrapText="1"/>
    </xf>
    <xf numFmtId="43" fontId="11" fillId="0" borderId="5" xfId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</cellXfs>
  <cellStyles count="6">
    <cellStyle name="Hipervínculo 2" xfId="3" xr:uid="{33736A7F-55A6-49A1-A7F7-DE0ED01C6721}"/>
    <cellStyle name="Millares" xfId="1" builtinId="3"/>
    <cellStyle name="Moneda 2 2" xfId="5" xr:uid="{1911BEA3-8ACC-46DD-8467-36AF8390442A}"/>
    <cellStyle name="Normal" xfId="0" builtinId="0"/>
    <cellStyle name="Normal 3" xfId="4" xr:uid="{9B760DBF-4CE3-4C86-8232-3978BD5011A9}"/>
    <cellStyle name="Porcentaje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Servidor_Archivos\200_Vice_Negocios_Operaciones\Gerencia_Procesos_Liquidatorios\zona_comun\INFORMES%20DE%20GESTION%20(ARIEL)\INFORMES%20VIGENCIA%202010\INFORMES%20ENERO%202010\JPP\310373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09"/>
      <sheetName val="MAR09"/>
      <sheetName val="ABR09"/>
      <sheetName val="DIC08"/>
      <sheetName val="MAY09"/>
      <sheetName val="ENEMAY09"/>
      <sheetName val="Hoja1"/>
      <sheetName val="JUN09"/>
      <sheetName val="JULI09"/>
      <sheetName val="AGO09"/>
      <sheetName val="SEPTIEMBRE"/>
      <sheetName val="DIC09"/>
      <sheetName val="OCT09"/>
      <sheetName val="ENE010"/>
      <sheetName val="PPTO 310373 "/>
      <sheetName val="RESUMEN"/>
      <sheetName val="DETALLADO"/>
      <sheetName val="FUENTES Y USOS"/>
      <sheetName val="APORTES"/>
      <sheetName val="ACTIVOS"/>
      <sheetName val="CARTERAS COLECTIVAS"/>
      <sheetName val="CUENTAS BANCARIAS "/>
      <sheetName val="COMISION "/>
      <sheetName val="COMPOSICION DE LOS FONDOS "/>
      <sheetName val="DLL  PAGOS "/>
      <sheetName val="DLL DE APORTES"/>
      <sheetName val="PARTIDAS PENDIENTES POR IDENTIF"/>
      <sheetName val="PROCESOS TERMINADOS"/>
      <sheetName val="RESUMEN SEMESTRAL"/>
      <sheetName val="DETALLADO SEMESTRAL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E92A-6727-4D1A-B684-97044DEB011A}">
  <dimension ref="B1:S20"/>
  <sheetViews>
    <sheetView showGridLines="0" tabSelected="1" zoomScale="90" zoomScaleNormal="90" workbookViewId="0">
      <selection activeCell="H17" sqref="H17"/>
    </sheetView>
  </sheetViews>
  <sheetFormatPr defaultColWidth="19.140625" defaultRowHeight="15"/>
  <cols>
    <col min="1" max="1" width="2.7109375" style="1" customWidth="1"/>
    <col min="2" max="2" width="19.5703125" style="1" customWidth="1"/>
    <col min="3" max="3" width="1.140625" style="1" customWidth="1"/>
    <col min="4" max="4" width="15.140625" style="1" customWidth="1"/>
    <col min="5" max="5" width="1.28515625" style="1" customWidth="1"/>
    <col min="6" max="6" width="13.5703125" style="8" customWidth="1"/>
    <col min="7" max="7" width="1.28515625" style="14" customWidth="1"/>
    <col min="8" max="8" width="20.42578125" style="1" customWidth="1"/>
    <col min="9" max="9" width="20.140625" style="1" customWidth="1"/>
    <col min="10" max="10" width="20.28515625" style="1" customWidth="1"/>
    <col min="11" max="11" width="19.140625" style="1" bestFit="1" customWidth="1"/>
    <col min="12" max="12" width="1.42578125" style="1" customWidth="1"/>
    <col min="13" max="13" width="18.7109375" style="1" bestFit="1" customWidth="1"/>
    <col min="14" max="14" width="2.140625" style="1" customWidth="1"/>
    <col min="15" max="15" width="18.42578125" style="1" bestFit="1" customWidth="1"/>
    <col min="16" max="16" width="1.28515625" style="1" customWidth="1"/>
    <col min="17" max="17" width="13" style="10" bestFit="1" customWidth="1"/>
    <col min="18" max="18" width="19.28515625" style="1" bestFit="1" customWidth="1"/>
    <col min="19" max="16384" width="19.140625" style="1"/>
  </cols>
  <sheetData>
    <row r="1" spans="2:19" ht="33.75" customHeight="1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2:19">
      <c r="B2" s="73">
        <v>45322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19" ht="7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9" ht="54.6" customHeight="1">
      <c r="B4" s="70" t="s">
        <v>1</v>
      </c>
      <c r="C4" s="11"/>
      <c r="D4" s="70" t="s">
        <v>2</v>
      </c>
      <c r="E4" s="11"/>
      <c r="F4" s="70" t="s">
        <v>3</v>
      </c>
      <c r="G4" s="13"/>
      <c r="H4" s="70" t="s">
        <v>4</v>
      </c>
      <c r="I4" s="50" t="s">
        <v>5</v>
      </c>
      <c r="J4" s="50" t="s">
        <v>6</v>
      </c>
      <c r="K4" s="50" t="s">
        <v>7</v>
      </c>
      <c r="L4" s="12"/>
      <c r="M4" s="50" t="s">
        <v>8</v>
      </c>
      <c r="N4" s="12"/>
      <c r="O4" s="50" t="s">
        <v>9</v>
      </c>
      <c r="P4" s="12"/>
      <c r="Q4" s="50" t="s">
        <v>10</v>
      </c>
    </row>
    <row r="5" spans="2:19" ht="15" customHeight="1">
      <c r="B5" s="71"/>
      <c r="C5" s="11"/>
      <c r="D5" s="71"/>
      <c r="E5" s="11"/>
      <c r="F5" s="71"/>
      <c r="G5" s="13"/>
      <c r="H5" s="71" t="s">
        <v>11</v>
      </c>
      <c r="I5" s="50" t="s">
        <v>12</v>
      </c>
      <c r="J5" s="50" t="s">
        <v>13</v>
      </c>
      <c r="K5" s="50" t="s">
        <v>14</v>
      </c>
      <c r="L5" s="12"/>
      <c r="M5" s="50" t="s">
        <v>15</v>
      </c>
      <c r="N5" s="12"/>
      <c r="O5" s="50" t="s">
        <v>16</v>
      </c>
      <c r="P5" s="12"/>
      <c r="Q5" s="50" t="s">
        <v>17</v>
      </c>
    </row>
    <row r="6" spans="2:19" ht="27" customHeight="1">
      <c r="B6" s="17" t="s">
        <v>18</v>
      </c>
      <c r="D6" s="18">
        <v>27</v>
      </c>
      <c r="F6" s="18">
        <f>COUNTIF('Detalle Convenios'!$D$5:$D$185,"Vigente")</f>
        <v>39</v>
      </c>
      <c r="H6" s="53">
        <f>SUMIF('Detalle Convenios'!$D$5:$D$185,Consolidado!B6,'Detalle Convenios'!$F$5:$F$185)</f>
        <v>66872296577.510002</v>
      </c>
      <c r="I6" s="53">
        <f>SUMIF('Detalle Convenios'!$D$5:$D$185,Consolidado!B6,'Detalle Convenios'!$G$5:$G$185)</f>
        <v>18506112490</v>
      </c>
      <c r="J6" s="54">
        <f>SUMIF('Detalle Convenios'!$D$5:$D$185,Consolidado!B6,'Detalle Convenios'!$H$5:$H$185)</f>
        <v>0</v>
      </c>
      <c r="K6" s="55">
        <f>+H6+I6+J6</f>
        <v>85378409067.51001</v>
      </c>
      <c r="L6" s="56"/>
      <c r="M6" s="53">
        <f>SUMIF('Detalle Convenios'!$D$5:$D$185,Consolidado!B6,'Detalle Convenios'!$J$5:$J$185)</f>
        <v>18288657348.23</v>
      </c>
      <c r="N6" s="57"/>
      <c r="O6" s="53">
        <f>SUMIF('Detalle Convenios'!$D$5:$D$185,Consolidado!B6,'Detalle Convenios'!$K$5:$K$185)</f>
        <v>4286677243.9525189</v>
      </c>
      <c r="P6" s="16"/>
      <c r="Q6" s="19">
        <f>+O6/I6</f>
        <v>0.23163574987825652</v>
      </c>
      <c r="S6" s="3"/>
    </row>
    <row r="7" spans="2:19" ht="27" customHeight="1">
      <c r="B7" s="17" t="s">
        <v>19</v>
      </c>
      <c r="D7" s="18">
        <v>23</v>
      </c>
      <c r="F7" s="18">
        <f>COUNTIF('Detalle Convenios'!$D$5:$D$185,"En Liquidación")</f>
        <v>31</v>
      </c>
      <c r="H7" s="53">
        <f>SUMIF('Detalle Convenios'!$D$5:$D$185,Consolidado!B7,'Detalle Convenios'!$F$5:$F$185)</f>
        <v>107969011729.34</v>
      </c>
      <c r="I7" s="53">
        <f>SUMIF('Detalle Convenios'!$D$5:$D$185,Consolidado!B7,'Detalle Convenios'!$G$5:$G$185)</f>
        <v>62364010599.87001</v>
      </c>
      <c r="J7" s="53">
        <f>SUMIF('Detalle Convenios'!$D$5:$D$185,Consolidado!B7,'Detalle Convenios'!$H$5:$H$185)</f>
        <v>36568898146.110001</v>
      </c>
      <c r="K7" s="55">
        <f>+H7+I7+J7</f>
        <v>206901920475.32001</v>
      </c>
      <c r="L7" s="56"/>
      <c r="M7" s="53">
        <f>SUMIF('Detalle Convenios'!$D$5:$D$185,Consolidado!B7,'Detalle Convenios'!$J$5:$J$185)</f>
        <v>62360925295.080009</v>
      </c>
      <c r="N7" s="57"/>
      <c r="O7" s="53">
        <f>SUMIF('Detalle Convenios'!$D$5:$D$185,Consolidado!B7,'Detalle Convenios'!$K$5:$K$185)</f>
        <v>58417907401.08432</v>
      </c>
      <c r="P7" s="16"/>
      <c r="Q7" s="19">
        <f>+O7/I7</f>
        <v>0.93672467243801805</v>
      </c>
      <c r="S7" s="3"/>
    </row>
    <row r="8" spans="2:19" ht="27" customHeight="1">
      <c r="B8" s="17" t="s">
        <v>20</v>
      </c>
      <c r="D8" s="18">
        <v>91</v>
      </c>
      <c r="F8" s="18">
        <f>COUNTIF('Detalle Convenios'!$D$5:$D$185,"Liquidado")</f>
        <v>111</v>
      </c>
      <c r="H8" s="53">
        <f>SUMIF('Detalle Convenios'!$D$5:$D$185,Consolidado!B8,'Detalle Convenios'!$F$5:$F$185)</f>
        <v>58324191389</v>
      </c>
      <c r="I8" s="53">
        <f>SUMIF('Detalle Convenios'!$D$5:$D$185,Consolidado!B8,'Detalle Convenios'!$G$5:$G$185)</f>
        <v>26217817575.040001</v>
      </c>
      <c r="J8" s="53">
        <f>SUMIF('Detalle Convenios'!$D$5:$D$185,Consolidado!B8,'Detalle Convenios'!$H$5:$H$185)</f>
        <v>3300000000</v>
      </c>
      <c r="K8" s="55">
        <f>+H8+I8+J8</f>
        <v>87842008964.040009</v>
      </c>
      <c r="L8" s="56"/>
      <c r="M8" s="53">
        <f>SUMIF('Detalle Convenios'!$D$5:$D$185,Consolidado!B8,'Detalle Convenios'!$J$5:$J$185)</f>
        <v>22002283507.5</v>
      </c>
      <c r="N8" s="57"/>
      <c r="O8" s="53">
        <f>SUMIF('Detalle Convenios'!$D$5:$D$185,Consolidado!B8,'Detalle Convenios'!$K$5:$K$185)</f>
        <v>17003206700.903095</v>
      </c>
      <c r="P8" s="16"/>
      <c r="Q8" s="19">
        <f>+O8/I8</f>
        <v>0.64853631131717693</v>
      </c>
      <c r="S8" s="3"/>
    </row>
    <row r="9" spans="2:19" ht="20.45" customHeight="1">
      <c r="B9" s="20" t="s">
        <v>21</v>
      </c>
      <c r="C9" s="4"/>
      <c r="D9" s="21">
        <f>SUM(D6:D8)</f>
        <v>141</v>
      </c>
      <c r="E9" s="4"/>
      <c r="F9" s="21">
        <f>SUM(F6:F8)</f>
        <v>181</v>
      </c>
      <c r="G9" s="15"/>
      <c r="H9" s="58">
        <f>SUM(H6:H8)</f>
        <v>233165499695.85001</v>
      </c>
      <c r="I9" s="58">
        <f t="shared" ref="I9:M9" si="0">SUM(I6:I8)</f>
        <v>107087940664.91</v>
      </c>
      <c r="J9" s="58">
        <f t="shared" si="0"/>
        <v>39868898146.110001</v>
      </c>
      <c r="K9" s="59">
        <f>SUM(K6:K8)</f>
        <v>380122338506.87</v>
      </c>
      <c r="L9" s="60"/>
      <c r="M9" s="58">
        <f t="shared" si="0"/>
        <v>102651866150.81001</v>
      </c>
      <c r="N9" s="60"/>
      <c r="O9" s="58">
        <f>SUM(O6:O8)</f>
        <v>79707791345.939941</v>
      </c>
      <c r="P9" s="6"/>
      <c r="Q9" s="22">
        <f>+O9/I9</f>
        <v>0.74432089039189231</v>
      </c>
    </row>
    <row r="10" spans="2:19" ht="13.15" customHeight="1">
      <c r="B10" s="4"/>
      <c r="C10" s="4"/>
      <c r="D10" s="4"/>
      <c r="E10" s="4"/>
      <c r="F10" s="5"/>
      <c r="G10" s="15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2:19">
      <c r="B11" s="1" t="s">
        <v>22</v>
      </c>
      <c r="H11" s="9"/>
      <c r="M11" s="3"/>
      <c r="N11" s="3"/>
    </row>
    <row r="12" spans="2:19">
      <c r="H12" s="3"/>
      <c r="I12" s="3"/>
      <c r="J12" s="3"/>
      <c r="K12" s="3"/>
      <c r="L12" s="3"/>
      <c r="M12" s="3"/>
      <c r="N12" s="3"/>
      <c r="O12" s="3"/>
      <c r="P12" s="3"/>
    </row>
    <row r="14" spans="2:19">
      <c r="B14" s="69" t="s">
        <v>23</v>
      </c>
      <c r="C14" s="69"/>
      <c r="D14" s="69"/>
    </row>
    <row r="16" spans="2:19" ht="30.6">
      <c r="B16" s="50" t="s">
        <v>24</v>
      </c>
      <c r="D16" s="50" t="s">
        <v>25</v>
      </c>
    </row>
    <row r="17" spans="2:4" ht="21" customHeight="1">
      <c r="B17" s="64">
        <v>45292</v>
      </c>
      <c r="D17" s="66">
        <v>71248060.600000009</v>
      </c>
    </row>
    <row r="18" spans="2:4">
      <c r="B18" s="20" t="s">
        <v>21</v>
      </c>
      <c r="D18" s="65">
        <f>+D17</f>
        <v>71248060.600000009</v>
      </c>
    </row>
    <row r="20" spans="2:4">
      <c r="B20" s="1" t="s">
        <v>22</v>
      </c>
    </row>
  </sheetData>
  <mergeCells count="7">
    <mergeCell ref="B14:D14"/>
    <mergeCell ref="F4:F5"/>
    <mergeCell ref="B1:Q1"/>
    <mergeCell ref="B2:Q2"/>
    <mergeCell ref="B4:B5"/>
    <mergeCell ref="H4:H5"/>
    <mergeCell ref="D4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1E92-07F5-41F3-BD3F-EB3BB18D6AFD}">
  <dimension ref="B2:R193"/>
  <sheetViews>
    <sheetView showGridLines="0" zoomScaleNormal="100" workbookViewId="0">
      <pane xSplit="5" ySplit="4" topLeftCell="K182" activePane="bottomRight" state="frozen"/>
      <selection pane="bottomRight" activeCell="N128" sqref="N128"/>
      <selection pane="bottomLeft" activeCell="A5" sqref="A5"/>
      <selection pane="topRight" activeCell="F1" sqref="F1"/>
    </sheetView>
  </sheetViews>
  <sheetFormatPr defaultColWidth="11.5703125" defaultRowHeight="12.6"/>
  <cols>
    <col min="1" max="1" width="2.7109375" style="23" customWidth="1"/>
    <col min="2" max="2" width="5.5703125" style="23" customWidth="1"/>
    <col min="3" max="3" width="40.140625" style="23" customWidth="1"/>
    <col min="4" max="4" width="13.140625" style="23" customWidth="1"/>
    <col min="5" max="5" width="16.5703125" style="23" customWidth="1"/>
    <col min="6" max="6" width="15.85546875" style="23" bestFit="1" customWidth="1"/>
    <col min="7" max="7" width="15.28515625" style="23" customWidth="1"/>
    <col min="8" max="8" width="15" style="23" customWidth="1"/>
    <col min="9" max="9" width="16.85546875" style="23" customWidth="1"/>
    <col min="10" max="10" width="17.7109375" style="23" customWidth="1"/>
    <col min="11" max="11" width="17.28515625" style="23" customWidth="1"/>
    <col min="12" max="12" width="9.140625" style="23" customWidth="1"/>
    <col min="13" max="13" width="17.7109375" style="23" customWidth="1"/>
    <col min="14" max="14" width="16.28515625" style="23" customWidth="1"/>
    <col min="15" max="15" width="2.28515625" style="23" customWidth="1"/>
    <col min="16" max="16" width="12.28515625" style="23" customWidth="1"/>
    <col min="17" max="17" width="1.42578125" style="23" customWidth="1"/>
    <col min="18" max="18" width="13.7109375" style="23" customWidth="1"/>
    <col min="19" max="16384" width="11.5703125" style="23"/>
  </cols>
  <sheetData>
    <row r="2" spans="2:18">
      <c r="F2" s="78" t="s">
        <v>26</v>
      </c>
      <c r="G2" s="78"/>
      <c r="H2" s="78"/>
      <c r="I2" s="78"/>
    </row>
    <row r="3" spans="2:18" ht="24" customHeight="1">
      <c r="F3" s="74" t="s">
        <v>27</v>
      </c>
      <c r="G3" s="75"/>
      <c r="H3" s="75"/>
      <c r="I3" s="76"/>
      <c r="P3" s="74" t="s">
        <v>28</v>
      </c>
      <c r="Q3" s="75"/>
      <c r="R3" s="76"/>
    </row>
    <row r="4" spans="2:18" ht="38.450000000000003" customHeight="1">
      <c r="B4" s="52" t="s">
        <v>29</v>
      </c>
      <c r="C4" s="52" t="s">
        <v>30</v>
      </c>
      <c r="D4" s="52" t="s">
        <v>1</v>
      </c>
      <c r="E4" s="52" t="s">
        <v>31</v>
      </c>
      <c r="F4" s="52" t="s">
        <v>32</v>
      </c>
      <c r="G4" s="52" t="s">
        <v>33</v>
      </c>
      <c r="H4" s="52" t="s">
        <v>34</v>
      </c>
      <c r="I4" s="52" t="s">
        <v>35</v>
      </c>
      <c r="J4" s="52" t="s">
        <v>36</v>
      </c>
      <c r="K4" s="52" t="s">
        <v>37</v>
      </c>
      <c r="L4" s="52" t="s">
        <v>10</v>
      </c>
      <c r="M4" s="52" t="s">
        <v>38</v>
      </c>
      <c r="N4" s="52" t="s">
        <v>39</v>
      </c>
      <c r="P4" s="67" t="s">
        <v>40</v>
      </c>
      <c r="R4" s="67" t="s">
        <v>41</v>
      </c>
    </row>
    <row r="5" spans="2:18" ht="28.9" customHeight="1">
      <c r="B5" s="51">
        <v>1</v>
      </c>
      <c r="C5" s="24" t="s">
        <v>42</v>
      </c>
      <c r="D5" s="24" t="s">
        <v>20</v>
      </c>
      <c r="E5" s="25" t="s">
        <v>43</v>
      </c>
      <c r="F5" s="26">
        <v>194312000</v>
      </c>
      <c r="G5" s="27">
        <v>78332000</v>
      </c>
      <c r="H5" s="28">
        <v>0</v>
      </c>
      <c r="I5" s="26">
        <f>+F5+G5+H5</f>
        <v>272644000</v>
      </c>
      <c r="J5" s="27">
        <v>77468000</v>
      </c>
      <c r="K5" s="27">
        <v>369398.74000000005</v>
      </c>
      <c r="L5" s="29">
        <f>+K5/G5</f>
        <v>4.7158088648317428E-3</v>
      </c>
      <c r="M5" s="26">
        <v>77098601.25999999</v>
      </c>
      <c r="N5" s="30">
        <v>0</v>
      </c>
      <c r="P5" s="61">
        <v>0</v>
      </c>
      <c r="R5" s="68">
        <f>+P5</f>
        <v>0</v>
      </c>
    </row>
    <row r="6" spans="2:18" ht="20.45" customHeight="1">
      <c r="B6" s="51">
        <v>2</v>
      </c>
      <c r="C6" s="24" t="s">
        <v>44</v>
      </c>
      <c r="D6" s="24" t="s">
        <v>20</v>
      </c>
      <c r="E6" s="25" t="s">
        <v>45</v>
      </c>
      <c r="F6" s="26">
        <v>730000000</v>
      </c>
      <c r="G6" s="27">
        <v>150000000</v>
      </c>
      <c r="H6" s="28">
        <v>0</v>
      </c>
      <c r="I6" s="26">
        <f t="shared" ref="I6:I56" si="0">+F6+G6+H6</f>
        <v>880000000</v>
      </c>
      <c r="J6" s="27">
        <v>150000000</v>
      </c>
      <c r="K6" s="27">
        <v>148532653.06999999</v>
      </c>
      <c r="L6" s="29">
        <f t="shared" ref="L6:L69" si="1">+K6/G6</f>
        <v>0.99021768713333325</v>
      </c>
      <c r="M6" s="26">
        <v>1467346.9300000002</v>
      </c>
      <c r="N6" s="30">
        <v>0</v>
      </c>
      <c r="P6" s="61">
        <v>0</v>
      </c>
      <c r="R6" s="68">
        <f t="shared" ref="R6:R69" si="2">+P6</f>
        <v>0</v>
      </c>
    </row>
    <row r="7" spans="2:18" ht="34.15" customHeight="1">
      <c r="B7" s="51">
        <v>3</v>
      </c>
      <c r="C7" s="24" t="s">
        <v>46</v>
      </c>
      <c r="D7" s="24" t="s">
        <v>20</v>
      </c>
      <c r="E7" s="25" t="s">
        <v>47</v>
      </c>
      <c r="F7" s="26">
        <v>402270085</v>
      </c>
      <c r="G7" s="27">
        <v>173002353</v>
      </c>
      <c r="H7" s="28">
        <v>0</v>
      </c>
      <c r="I7" s="26">
        <f t="shared" si="0"/>
        <v>575272438</v>
      </c>
      <c r="J7" s="27">
        <v>173002353</v>
      </c>
      <c r="K7" s="27">
        <v>172791909.49000001</v>
      </c>
      <c r="L7" s="29">
        <f t="shared" si="1"/>
        <v>0.99878358007072887</v>
      </c>
      <c r="M7" s="26">
        <v>210443.51</v>
      </c>
      <c r="N7" s="30">
        <v>0</v>
      </c>
      <c r="P7" s="61">
        <v>0</v>
      </c>
      <c r="R7" s="68">
        <f t="shared" si="2"/>
        <v>0</v>
      </c>
    </row>
    <row r="8" spans="2:18" ht="31.15" customHeight="1">
      <c r="B8" s="51">
        <v>4</v>
      </c>
      <c r="C8" s="24" t="s">
        <v>48</v>
      </c>
      <c r="D8" s="24" t="s">
        <v>20</v>
      </c>
      <c r="E8" s="25" t="s">
        <v>49</v>
      </c>
      <c r="F8" s="26">
        <v>4684383099</v>
      </c>
      <c r="G8" s="27">
        <v>100000000</v>
      </c>
      <c r="H8" s="28">
        <v>0</v>
      </c>
      <c r="I8" s="26">
        <f t="shared" si="0"/>
        <v>4784383099</v>
      </c>
      <c r="J8" s="27">
        <v>100000000</v>
      </c>
      <c r="K8" s="27">
        <v>99632478.459999993</v>
      </c>
      <c r="L8" s="29">
        <f t="shared" si="1"/>
        <v>0.99632478459999996</v>
      </c>
      <c r="M8" s="26">
        <v>367521.54000000656</v>
      </c>
      <c r="N8" s="30">
        <v>0</v>
      </c>
      <c r="P8" s="61">
        <v>0</v>
      </c>
      <c r="R8" s="68">
        <f t="shared" si="2"/>
        <v>0</v>
      </c>
    </row>
    <row r="9" spans="2:18" ht="25.9" customHeight="1">
      <c r="B9" s="51">
        <v>5</v>
      </c>
      <c r="C9" s="24" t="s">
        <v>48</v>
      </c>
      <c r="D9" s="24" t="s">
        <v>20</v>
      </c>
      <c r="E9" s="25" t="s">
        <v>50</v>
      </c>
      <c r="F9" s="26">
        <v>4684383099</v>
      </c>
      <c r="G9" s="27">
        <v>500000000</v>
      </c>
      <c r="H9" s="28">
        <v>0</v>
      </c>
      <c r="I9" s="26">
        <f t="shared" si="0"/>
        <v>5184383099</v>
      </c>
      <c r="J9" s="27">
        <v>500000000</v>
      </c>
      <c r="K9" s="27">
        <v>498197323.5</v>
      </c>
      <c r="L9" s="29">
        <f t="shared" si="1"/>
        <v>0.99639464700000002</v>
      </c>
      <c r="M9" s="26">
        <v>1802676.5</v>
      </c>
      <c r="N9" s="30">
        <v>0</v>
      </c>
      <c r="P9" s="61">
        <v>0</v>
      </c>
      <c r="R9" s="68">
        <f t="shared" si="2"/>
        <v>0</v>
      </c>
    </row>
    <row r="10" spans="2:18" ht="23.45" customHeight="1">
      <c r="B10" s="51">
        <v>6</v>
      </c>
      <c r="C10" s="24" t="s">
        <v>51</v>
      </c>
      <c r="D10" s="24" t="s">
        <v>20</v>
      </c>
      <c r="E10" s="25" t="s">
        <v>52</v>
      </c>
      <c r="F10" s="28">
        <v>0</v>
      </c>
      <c r="G10" s="27">
        <v>100000000</v>
      </c>
      <c r="H10" s="28">
        <v>0</v>
      </c>
      <c r="I10" s="26">
        <f t="shared" si="0"/>
        <v>100000000</v>
      </c>
      <c r="J10" s="27">
        <v>100000000</v>
      </c>
      <c r="K10" s="27">
        <v>99969924.850000009</v>
      </c>
      <c r="L10" s="29">
        <f t="shared" si="1"/>
        <v>0.99969924850000014</v>
      </c>
      <c r="M10" s="26">
        <v>30075.149999991059</v>
      </c>
      <c r="N10" s="30">
        <v>0</v>
      </c>
      <c r="P10" s="61">
        <v>0</v>
      </c>
      <c r="R10" s="68">
        <f t="shared" si="2"/>
        <v>0</v>
      </c>
    </row>
    <row r="11" spans="2:18" ht="39.6" customHeight="1">
      <c r="B11" s="51">
        <v>7</v>
      </c>
      <c r="C11" s="24" t="s">
        <v>53</v>
      </c>
      <c r="D11" s="24" t="s">
        <v>20</v>
      </c>
      <c r="E11" s="25" t="s">
        <v>54</v>
      </c>
      <c r="F11" s="26">
        <v>355220885</v>
      </c>
      <c r="G11" s="27">
        <v>90850000</v>
      </c>
      <c r="H11" s="28">
        <v>0</v>
      </c>
      <c r="I11" s="26">
        <f t="shared" si="0"/>
        <v>446070885</v>
      </c>
      <c r="J11" s="27">
        <v>90850000</v>
      </c>
      <c r="K11" s="27">
        <v>89917317.980000004</v>
      </c>
      <c r="L11" s="29">
        <f t="shared" si="1"/>
        <v>0.98973382476609806</v>
      </c>
      <c r="M11" s="26">
        <v>932682.02</v>
      </c>
      <c r="N11" s="30">
        <v>0</v>
      </c>
      <c r="P11" s="61">
        <v>0</v>
      </c>
      <c r="R11" s="68">
        <f t="shared" si="2"/>
        <v>0</v>
      </c>
    </row>
    <row r="12" spans="2:18" ht="34.9" customHeight="1">
      <c r="B12" s="51">
        <v>8</v>
      </c>
      <c r="C12" s="24" t="s">
        <v>55</v>
      </c>
      <c r="D12" s="24" t="s">
        <v>20</v>
      </c>
      <c r="E12" s="25" t="s">
        <v>56</v>
      </c>
      <c r="F12" s="26">
        <v>680000000</v>
      </c>
      <c r="G12" s="27">
        <v>111000000</v>
      </c>
      <c r="H12" s="28">
        <v>0</v>
      </c>
      <c r="I12" s="26">
        <f t="shared" si="0"/>
        <v>791000000</v>
      </c>
      <c r="J12" s="27">
        <v>111000000</v>
      </c>
      <c r="K12" s="27">
        <v>442231.08</v>
      </c>
      <c r="L12" s="29">
        <f t="shared" si="1"/>
        <v>3.9840637837837839E-3</v>
      </c>
      <c r="M12" s="26">
        <v>110557768.92</v>
      </c>
      <c r="N12" s="30">
        <v>0</v>
      </c>
      <c r="P12" s="61">
        <v>0</v>
      </c>
      <c r="R12" s="68">
        <f t="shared" si="2"/>
        <v>0</v>
      </c>
    </row>
    <row r="13" spans="2:18" ht="22.15" customHeight="1">
      <c r="B13" s="51">
        <v>9</v>
      </c>
      <c r="C13" s="24" t="s">
        <v>57</v>
      </c>
      <c r="D13" s="24" t="s">
        <v>20</v>
      </c>
      <c r="E13" s="25" t="s">
        <v>58</v>
      </c>
      <c r="F13" s="26">
        <v>2202390162</v>
      </c>
      <c r="G13" s="27">
        <v>26000000</v>
      </c>
      <c r="H13" s="28">
        <v>0</v>
      </c>
      <c r="I13" s="26">
        <f t="shared" si="0"/>
        <v>2228390162</v>
      </c>
      <c r="J13" s="27">
        <v>26000000</v>
      </c>
      <c r="K13" s="27">
        <v>25899119</v>
      </c>
      <c r="L13" s="29">
        <f t="shared" si="1"/>
        <v>0.9961199615384615</v>
      </c>
      <c r="M13" s="26">
        <v>100881</v>
      </c>
      <c r="N13" s="30">
        <v>0</v>
      </c>
      <c r="P13" s="61">
        <v>0</v>
      </c>
      <c r="R13" s="68">
        <f t="shared" si="2"/>
        <v>0</v>
      </c>
    </row>
    <row r="14" spans="2:18" ht="22.15" customHeight="1">
      <c r="B14" s="51">
        <v>10</v>
      </c>
      <c r="C14" s="24" t="s">
        <v>59</v>
      </c>
      <c r="D14" s="24" t="s">
        <v>20</v>
      </c>
      <c r="E14" s="25" t="s">
        <v>60</v>
      </c>
      <c r="F14" s="26">
        <v>1200000000</v>
      </c>
      <c r="G14" s="27">
        <v>3356386364.54</v>
      </c>
      <c r="H14" s="26">
        <v>1500000000</v>
      </c>
      <c r="I14" s="26">
        <f t="shared" si="0"/>
        <v>6056386364.54</v>
      </c>
      <c r="J14" s="31">
        <v>0</v>
      </c>
      <c r="K14" s="31">
        <v>0</v>
      </c>
      <c r="L14" s="29">
        <f t="shared" si="1"/>
        <v>0</v>
      </c>
      <c r="M14" s="28">
        <v>0</v>
      </c>
      <c r="N14" s="30">
        <v>0</v>
      </c>
      <c r="P14" s="61">
        <v>0</v>
      </c>
      <c r="R14" s="68">
        <f t="shared" si="2"/>
        <v>0</v>
      </c>
    </row>
    <row r="15" spans="2:18" ht="31.9" customHeight="1">
      <c r="B15" s="51">
        <v>11</v>
      </c>
      <c r="C15" s="24" t="s">
        <v>61</v>
      </c>
      <c r="D15" s="24" t="s">
        <v>20</v>
      </c>
      <c r="E15" s="25" t="s">
        <v>62</v>
      </c>
      <c r="F15" s="26">
        <v>409480000</v>
      </c>
      <c r="G15" s="27">
        <v>110200000</v>
      </c>
      <c r="H15" s="28">
        <v>0</v>
      </c>
      <c r="I15" s="26">
        <f t="shared" si="0"/>
        <v>519680000</v>
      </c>
      <c r="J15" s="31">
        <v>0</v>
      </c>
      <c r="K15" s="31">
        <v>0</v>
      </c>
      <c r="L15" s="29">
        <f t="shared" si="1"/>
        <v>0</v>
      </c>
      <c r="M15" s="28">
        <v>0</v>
      </c>
      <c r="N15" s="30">
        <v>0</v>
      </c>
      <c r="P15" s="61">
        <v>0</v>
      </c>
      <c r="R15" s="68">
        <f t="shared" si="2"/>
        <v>0</v>
      </c>
    </row>
    <row r="16" spans="2:18" ht="51.6" customHeight="1">
      <c r="B16" s="51">
        <v>12</v>
      </c>
      <c r="C16" s="24" t="s">
        <v>63</v>
      </c>
      <c r="D16" s="24" t="s">
        <v>20</v>
      </c>
      <c r="E16" s="25" t="s">
        <v>64</v>
      </c>
      <c r="F16" s="26">
        <v>438008930</v>
      </c>
      <c r="G16" s="27">
        <v>70000000</v>
      </c>
      <c r="H16" s="28">
        <v>0</v>
      </c>
      <c r="I16" s="26">
        <f t="shared" si="0"/>
        <v>508008930</v>
      </c>
      <c r="J16" s="31">
        <v>0</v>
      </c>
      <c r="K16" s="31">
        <v>0</v>
      </c>
      <c r="L16" s="29">
        <f t="shared" si="1"/>
        <v>0</v>
      </c>
      <c r="M16" s="28">
        <v>0</v>
      </c>
      <c r="N16" s="30">
        <v>0</v>
      </c>
      <c r="P16" s="61">
        <v>0</v>
      </c>
      <c r="R16" s="68">
        <f t="shared" si="2"/>
        <v>0</v>
      </c>
    </row>
    <row r="17" spans="2:18" ht="42.6" customHeight="1">
      <c r="B17" s="51">
        <v>13</v>
      </c>
      <c r="C17" s="24" t="s">
        <v>65</v>
      </c>
      <c r="D17" s="24" t="s">
        <v>20</v>
      </c>
      <c r="E17" s="25" t="s">
        <v>66</v>
      </c>
      <c r="F17" s="26">
        <v>37752000</v>
      </c>
      <c r="G17" s="27">
        <v>9666000</v>
      </c>
      <c r="H17" s="28">
        <v>0</v>
      </c>
      <c r="I17" s="26">
        <f t="shared" si="0"/>
        <v>47418000</v>
      </c>
      <c r="J17" s="27">
        <v>9666000</v>
      </c>
      <c r="K17" s="27">
        <v>7645169.96</v>
      </c>
      <c r="L17" s="29">
        <f t="shared" si="1"/>
        <v>0.79093419822056699</v>
      </c>
      <c r="M17" s="26">
        <v>2020830.04</v>
      </c>
      <c r="N17" s="30">
        <v>0</v>
      </c>
      <c r="P17" s="61">
        <v>0</v>
      </c>
      <c r="R17" s="68">
        <f t="shared" si="2"/>
        <v>0</v>
      </c>
    </row>
    <row r="18" spans="2:18" ht="31.9" customHeight="1">
      <c r="B18" s="51">
        <v>14</v>
      </c>
      <c r="C18" s="24" t="s">
        <v>67</v>
      </c>
      <c r="D18" s="24" t="s">
        <v>20</v>
      </c>
      <c r="E18" s="25" t="s">
        <v>68</v>
      </c>
      <c r="F18" s="26">
        <v>146995200</v>
      </c>
      <c r="G18" s="27">
        <v>36895795</v>
      </c>
      <c r="H18" s="28">
        <v>0</v>
      </c>
      <c r="I18" s="26">
        <f t="shared" si="0"/>
        <v>183890995</v>
      </c>
      <c r="J18" s="27">
        <v>36895795</v>
      </c>
      <c r="K18" s="27">
        <v>36895795.200000003</v>
      </c>
      <c r="L18" s="29">
        <f t="shared" si="1"/>
        <v>1.0000000054206719</v>
      </c>
      <c r="M18" s="28">
        <v>0</v>
      </c>
      <c r="N18" s="30">
        <v>0</v>
      </c>
      <c r="P18" s="61">
        <v>0</v>
      </c>
      <c r="R18" s="68">
        <f t="shared" si="2"/>
        <v>0</v>
      </c>
    </row>
    <row r="19" spans="2:18" ht="25.9" customHeight="1">
      <c r="B19" s="51">
        <v>15</v>
      </c>
      <c r="C19" s="24" t="s">
        <v>69</v>
      </c>
      <c r="D19" s="24" t="s">
        <v>20</v>
      </c>
      <c r="E19" s="25" t="s">
        <v>70</v>
      </c>
      <c r="F19" s="26">
        <v>192549860</v>
      </c>
      <c r="G19" s="27">
        <v>54840932</v>
      </c>
      <c r="H19" s="28">
        <v>0</v>
      </c>
      <c r="I19" s="26">
        <f t="shared" si="0"/>
        <v>247390792</v>
      </c>
      <c r="J19" s="27">
        <v>54840932</v>
      </c>
      <c r="K19" s="27">
        <v>54840931.68</v>
      </c>
      <c r="L19" s="29">
        <f t="shared" si="1"/>
        <v>0.99999999416494234</v>
      </c>
      <c r="M19" s="28">
        <v>0.32</v>
      </c>
      <c r="N19" s="30">
        <v>0</v>
      </c>
      <c r="P19" s="61">
        <v>0</v>
      </c>
      <c r="R19" s="68">
        <f t="shared" si="2"/>
        <v>0</v>
      </c>
    </row>
    <row r="20" spans="2:18" ht="42.6" customHeight="1">
      <c r="B20" s="51">
        <v>16</v>
      </c>
      <c r="C20" s="24" t="s">
        <v>71</v>
      </c>
      <c r="D20" s="24" t="s">
        <v>20</v>
      </c>
      <c r="E20" s="25" t="s">
        <v>72</v>
      </c>
      <c r="F20" s="26">
        <v>100750000</v>
      </c>
      <c r="G20" s="27">
        <v>27342000</v>
      </c>
      <c r="H20" s="28">
        <v>0</v>
      </c>
      <c r="I20" s="26">
        <f t="shared" si="0"/>
        <v>128092000</v>
      </c>
      <c r="J20" s="27">
        <v>27342000</v>
      </c>
      <c r="K20" s="27">
        <v>24283999</v>
      </c>
      <c r="L20" s="29">
        <f t="shared" si="1"/>
        <v>0.88815737692926633</v>
      </c>
      <c r="M20" s="26">
        <v>3058001</v>
      </c>
      <c r="N20" s="30">
        <v>0</v>
      </c>
      <c r="P20" s="61">
        <v>0</v>
      </c>
      <c r="R20" s="68">
        <f t="shared" si="2"/>
        <v>0</v>
      </c>
    </row>
    <row r="21" spans="2:18" ht="34.9" customHeight="1">
      <c r="B21" s="51">
        <v>17</v>
      </c>
      <c r="C21" s="24" t="s">
        <v>73</v>
      </c>
      <c r="D21" s="24" t="s">
        <v>20</v>
      </c>
      <c r="E21" s="25" t="s">
        <v>74</v>
      </c>
      <c r="F21" s="28">
        <v>0</v>
      </c>
      <c r="G21" s="27">
        <v>1000000000</v>
      </c>
      <c r="H21" s="28">
        <v>0</v>
      </c>
      <c r="I21" s="26">
        <f t="shared" si="0"/>
        <v>1000000000</v>
      </c>
      <c r="J21" s="27">
        <f>900000000+29159097</f>
        <v>929159097</v>
      </c>
      <c r="K21" s="27">
        <v>929159097.09000003</v>
      </c>
      <c r="L21" s="29">
        <f t="shared" si="1"/>
        <v>0.92915909709</v>
      </c>
      <c r="M21" s="28">
        <v>0</v>
      </c>
      <c r="N21" s="30">
        <v>0</v>
      </c>
      <c r="P21" s="61">
        <v>0</v>
      </c>
      <c r="R21" s="68">
        <f t="shared" si="2"/>
        <v>0</v>
      </c>
    </row>
    <row r="22" spans="2:18" ht="45.6" customHeight="1">
      <c r="B22" s="51">
        <v>18</v>
      </c>
      <c r="C22" s="24" t="s">
        <v>75</v>
      </c>
      <c r="D22" s="24" t="s">
        <v>20</v>
      </c>
      <c r="E22" s="25" t="s">
        <v>76</v>
      </c>
      <c r="F22" s="26">
        <v>138400000</v>
      </c>
      <c r="G22" s="27">
        <v>35579000</v>
      </c>
      <c r="H22" s="28">
        <v>0</v>
      </c>
      <c r="I22" s="26">
        <f t="shared" si="0"/>
        <v>173979000</v>
      </c>
      <c r="J22" s="27">
        <v>35579000</v>
      </c>
      <c r="K22" s="27">
        <v>35579000.008000001</v>
      </c>
      <c r="L22" s="29">
        <f t="shared" si="1"/>
        <v>1.0000000002248517</v>
      </c>
      <c r="M22" s="28">
        <v>0</v>
      </c>
      <c r="N22" s="30">
        <v>0</v>
      </c>
      <c r="P22" s="61">
        <v>0</v>
      </c>
      <c r="R22" s="68">
        <f t="shared" si="2"/>
        <v>0</v>
      </c>
    </row>
    <row r="23" spans="2:18" ht="39" customHeight="1">
      <c r="B23" s="51">
        <v>19</v>
      </c>
      <c r="C23" s="24" t="s">
        <v>77</v>
      </c>
      <c r="D23" s="24" t="s">
        <v>20</v>
      </c>
      <c r="E23" s="25" t="s">
        <v>78</v>
      </c>
      <c r="F23" s="26">
        <v>246570000</v>
      </c>
      <c r="G23" s="27">
        <v>69344800</v>
      </c>
      <c r="H23" s="28">
        <v>0</v>
      </c>
      <c r="I23" s="26">
        <f t="shared" si="0"/>
        <v>315914800</v>
      </c>
      <c r="J23" s="27">
        <v>69344800</v>
      </c>
      <c r="K23" s="27">
        <v>66124103.029999994</v>
      </c>
      <c r="L23" s="29">
        <f t="shared" si="1"/>
        <v>0.95355532109112717</v>
      </c>
      <c r="M23" s="26">
        <v>3220696.97</v>
      </c>
      <c r="N23" s="30">
        <v>0</v>
      </c>
      <c r="P23" s="61">
        <v>0</v>
      </c>
      <c r="R23" s="68">
        <f t="shared" si="2"/>
        <v>0</v>
      </c>
    </row>
    <row r="24" spans="2:18" ht="48.6" customHeight="1">
      <c r="B24" s="51">
        <v>20</v>
      </c>
      <c r="C24" s="24" t="s">
        <v>79</v>
      </c>
      <c r="D24" s="24" t="s">
        <v>20</v>
      </c>
      <c r="E24" s="25" t="s">
        <v>80</v>
      </c>
      <c r="F24" s="26">
        <v>75487992</v>
      </c>
      <c r="G24" s="27">
        <v>19390978</v>
      </c>
      <c r="H24" s="28">
        <v>0</v>
      </c>
      <c r="I24" s="26">
        <f t="shared" si="0"/>
        <v>94878970</v>
      </c>
      <c r="J24" s="27">
        <v>19390978</v>
      </c>
      <c r="K24" s="27">
        <v>13220386.859999999</v>
      </c>
      <c r="L24" s="29">
        <f t="shared" si="1"/>
        <v>0.68178030319048366</v>
      </c>
      <c r="M24" s="26">
        <v>6170591.1399999997</v>
      </c>
      <c r="N24" s="30">
        <v>0</v>
      </c>
      <c r="P24" s="61">
        <v>0</v>
      </c>
      <c r="R24" s="68">
        <f t="shared" si="2"/>
        <v>0</v>
      </c>
    </row>
    <row r="25" spans="2:18" ht="31.15" customHeight="1">
      <c r="B25" s="51">
        <v>21</v>
      </c>
      <c r="C25" s="24" t="s">
        <v>81</v>
      </c>
      <c r="D25" s="24" t="s">
        <v>20</v>
      </c>
      <c r="E25" s="25" t="s">
        <v>82</v>
      </c>
      <c r="F25" s="26">
        <v>147706667</v>
      </c>
      <c r="G25" s="27">
        <v>37970244</v>
      </c>
      <c r="H25" s="28">
        <v>0</v>
      </c>
      <c r="I25" s="26">
        <f t="shared" si="0"/>
        <v>185676911</v>
      </c>
      <c r="J25" s="31">
        <v>0</v>
      </c>
      <c r="K25" s="31">
        <v>0</v>
      </c>
      <c r="L25" s="29">
        <f t="shared" si="1"/>
        <v>0</v>
      </c>
      <c r="M25" s="28">
        <v>0</v>
      </c>
      <c r="N25" s="30">
        <v>0</v>
      </c>
      <c r="P25" s="61">
        <v>0</v>
      </c>
      <c r="R25" s="68">
        <f t="shared" si="2"/>
        <v>0</v>
      </c>
    </row>
    <row r="26" spans="2:18" ht="35.450000000000003" customHeight="1">
      <c r="B26" s="51">
        <v>22</v>
      </c>
      <c r="C26" s="24" t="s">
        <v>83</v>
      </c>
      <c r="D26" s="24" t="s">
        <v>20</v>
      </c>
      <c r="E26" s="25" t="s">
        <v>84</v>
      </c>
      <c r="F26" s="26">
        <v>1500000000</v>
      </c>
      <c r="G26" s="27">
        <v>30500000</v>
      </c>
      <c r="H26" s="28">
        <v>0</v>
      </c>
      <c r="I26" s="26">
        <f t="shared" si="0"/>
        <v>1530500000</v>
      </c>
      <c r="J26" s="27">
        <v>30500000</v>
      </c>
      <c r="K26" s="27">
        <v>30499999.940000001</v>
      </c>
      <c r="L26" s="29">
        <f t="shared" si="1"/>
        <v>0.99999999803278694</v>
      </c>
      <c r="M26" s="28">
        <v>0.06</v>
      </c>
      <c r="N26" s="30">
        <v>0</v>
      </c>
      <c r="P26" s="61">
        <v>0</v>
      </c>
      <c r="R26" s="68">
        <f t="shared" si="2"/>
        <v>0</v>
      </c>
    </row>
    <row r="27" spans="2:18" ht="47.45" customHeight="1">
      <c r="B27" s="51">
        <v>23</v>
      </c>
      <c r="C27" s="24" t="s">
        <v>85</v>
      </c>
      <c r="D27" s="24" t="s">
        <v>20</v>
      </c>
      <c r="E27" s="25" t="s">
        <v>86</v>
      </c>
      <c r="F27" s="26">
        <v>127120000</v>
      </c>
      <c r="G27" s="27">
        <v>31920000</v>
      </c>
      <c r="H27" s="28">
        <v>0</v>
      </c>
      <c r="I27" s="26">
        <f t="shared" si="0"/>
        <v>159040000</v>
      </c>
      <c r="J27" s="27">
        <v>31920000</v>
      </c>
      <c r="K27" s="27">
        <v>31920000</v>
      </c>
      <c r="L27" s="29">
        <f t="shared" si="1"/>
        <v>1</v>
      </c>
      <c r="M27" s="28">
        <v>0</v>
      </c>
      <c r="N27" s="30">
        <v>0</v>
      </c>
      <c r="P27" s="61">
        <v>0</v>
      </c>
      <c r="R27" s="68">
        <f t="shared" si="2"/>
        <v>0</v>
      </c>
    </row>
    <row r="28" spans="2:18" ht="48" customHeight="1">
      <c r="B28" s="51">
        <v>24</v>
      </c>
      <c r="C28" s="24" t="s">
        <v>87</v>
      </c>
      <c r="D28" s="24" t="s">
        <v>20</v>
      </c>
      <c r="E28" s="25" t="s">
        <v>88</v>
      </c>
      <c r="F28" s="26">
        <v>192834473</v>
      </c>
      <c r="G28" s="27">
        <v>48208618</v>
      </c>
      <c r="H28" s="28">
        <v>0</v>
      </c>
      <c r="I28" s="26">
        <f t="shared" si="0"/>
        <v>241043091</v>
      </c>
      <c r="J28" s="31">
        <v>0</v>
      </c>
      <c r="K28" s="31">
        <v>0</v>
      </c>
      <c r="L28" s="29">
        <f t="shared" si="1"/>
        <v>0</v>
      </c>
      <c r="M28" s="28">
        <v>0</v>
      </c>
      <c r="N28" s="30">
        <v>0</v>
      </c>
      <c r="P28" s="61">
        <v>0</v>
      </c>
      <c r="R28" s="68">
        <f t="shared" si="2"/>
        <v>0</v>
      </c>
    </row>
    <row r="29" spans="2:18" ht="34.15" customHeight="1">
      <c r="B29" s="51">
        <v>25</v>
      </c>
      <c r="C29" s="24" t="s">
        <v>89</v>
      </c>
      <c r="D29" s="24" t="s">
        <v>20</v>
      </c>
      <c r="E29" s="25" t="s">
        <v>90</v>
      </c>
      <c r="F29" s="26">
        <v>160000000</v>
      </c>
      <c r="G29" s="27">
        <v>25400000</v>
      </c>
      <c r="H29" s="28">
        <v>0</v>
      </c>
      <c r="I29" s="26">
        <f t="shared" si="0"/>
        <v>185400000</v>
      </c>
      <c r="J29" s="27">
        <v>25400000</v>
      </c>
      <c r="K29" s="27">
        <v>18132970.210000001</v>
      </c>
      <c r="L29" s="29">
        <f t="shared" si="1"/>
        <v>0.71389646496062997</v>
      </c>
      <c r="M29" s="26">
        <v>7267029.79</v>
      </c>
      <c r="N29" s="30">
        <v>0</v>
      </c>
      <c r="P29" s="61">
        <v>0</v>
      </c>
      <c r="R29" s="68">
        <f t="shared" si="2"/>
        <v>0</v>
      </c>
    </row>
    <row r="30" spans="2:18" ht="42.6" customHeight="1">
      <c r="B30" s="51">
        <v>26</v>
      </c>
      <c r="C30" s="24" t="s">
        <v>91</v>
      </c>
      <c r="D30" s="24" t="s">
        <v>20</v>
      </c>
      <c r="E30" s="25" t="s">
        <v>92</v>
      </c>
      <c r="F30" s="26">
        <v>108280000</v>
      </c>
      <c r="G30" s="27">
        <v>111340078</v>
      </c>
      <c r="H30" s="28">
        <v>0</v>
      </c>
      <c r="I30" s="26">
        <f t="shared" si="0"/>
        <v>219620078</v>
      </c>
      <c r="J30" s="27">
        <v>111340078</v>
      </c>
      <c r="K30" s="27">
        <v>90485077.959999993</v>
      </c>
      <c r="L30" s="29">
        <f t="shared" si="1"/>
        <v>0.81269098769627224</v>
      </c>
      <c r="M30" s="26">
        <v>20855000.039999999</v>
      </c>
      <c r="N30" s="30">
        <v>0</v>
      </c>
      <c r="P30" s="61">
        <v>0</v>
      </c>
      <c r="R30" s="68">
        <f t="shared" si="2"/>
        <v>0</v>
      </c>
    </row>
    <row r="31" spans="2:18" ht="44.45" customHeight="1">
      <c r="B31" s="51">
        <v>27</v>
      </c>
      <c r="C31" s="24" t="s">
        <v>93</v>
      </c>
      <c r="D31" s="24" t="s">
        <v>20</v>
      </c>
      <c r="E31" s="25" t="s">
        <v>94</v>
      </c>
      <c r="F31" s="26">
        <v>168857600</v>
      </c>
      <c r="G31" s="27">
        <v>43407412</v>
      </c>
      <c r="H31" s="28">
        <v>0</v>
      </c>
      <c r="I31" s="26">
        <f t="shared" si="0"/>
        <v>212265012</v>
      </c>
      <c r="J31" s="27">
        <v>43407412</v>
      </c>
      <c r="K31" s="27">
        <v>38903011.899999999</v>
      </c>
      <c r="L31" s="29">
        <f t="shared" si="1"/>
        <v>0.89622970150812031</v>
      </c>
      <c r="M31" s="26">
        <v>4504400.0999999996</v>
      </c>
      <c r="N31" s="30">
        <v>0</v>
      </c>
      <c r="P31" s="61">
        <v>0</v>
      </c>
      <c r="R31" s="68">
        <f t="shared" si="2"/>
        <v>0</v>
      </c>
    </row>
    <row r="32" spans="2:18" ht="35.450000000000003" customHeight="1">
      <c r="B32" s="51">
        <v>28</v>
      </c>
      <c r="C32" s="24" t="s">
        <v>95</v>
      </c>
      <c r="D32" s="24" t="s">
        <v>20</v>
      </c>
      <c r="E32" s="25" t="s">
        <v>96</v>
      </c>
      <c r="F32" s="26">
        <v>71309740</v>
      </c>
      <c r="G32" s="27">
        <v>57876660</v>
      </c>
      <c r="H32" s="28">
        <v>0</v>
      </c>
      <c r="I32" s="26">
        <f t="shared" si="0"/>
        <v>129186400</v>
      </c>
      <c r="J32" s="27">
        <v>57876660</v>
      </c>
      <c r="K32" s="27">
        <v>54799165.310000002</v>
      </c>
      <c r="L32" s="29">
        <f t="shared" si="1"/>
        <v>0.94682667088943973</v>
      </c>
      <c r="M32" s="26">
        <v>3077494.6899999976</v>
      </c>
      <c r="N32" s="30">
        <v>0</v>
      </c>
      <c r="P32" s="61">
        <v>0</v>
      </c>
      <c r="R32" s="68">
        <f t="shared" si="2"/>
        <v>0</v>
      </c>
    </row>
    <row r="33" spans="2:18" ht="48.6" customHeight="1">
      <c r="B33" s="51">
        <v>29</v>
      </c>
      <c r="C33" s="24" t="s">
        <v>97</v>
      </c>
      <c r="D33" s="24" t="s">
        <v>20</v>
      </c>
      <c r="E33" s="25" t="s">
        <v>98</v>
      </c>
      <c r="F33" s="26">
        <v>53033333</v>
      </c>
      <c r="G33" s="27">
        <v>13957600</v>
      </c>
      <c r="H33" s="28">
        <v>0</v>
      </c>
      <c r="I33" s="26">
        <f t="shared" si="0"/>
        <v>66990933</v>
      </c>
      <c r="J33" s="27">
        <v>13957600</v>
      </c>
      <c r="K33" s="27">
        <v>9399332.9600000009</v>
      </c>
      <c r="L33" s="29">
        <f t="shared" si="1"/>
        <v>0.673420427580673</v>
      </c>
      <c r="M33" s="26">
        <v>4558267.03</v>
      </c>
      <c r="N33" s="30">
        <v>0</v>
      </c>
      <c r="P33" s="61">
        <v>0</v>
      </c>
      <c r="R33" s="68">
        <f t="shared" si="2"/>
        <v>0</v>
      </c>
    </row>
    <row r="34" spans="2:18" ht="38.450000000000003" customHeight="1">
      <c r="B34" s="51">
        <v>30</v>
      </c>
      <c r="C34" s="24" t="s">
        <v>99</v>
      </c>
      <c r="D34" s="24" t="s">
        <v>20</v>
      </c>
      <c r="E34" s="25" t="s">
        <v>100</v>
      </c>
      <c r="F34" s="26">
        <v>346718400</v>
      </c>
      <c r="G34" s="27">
        <v>89129234</v>
      </c>
      <c r="H34" s="28">
        <v>0</v>
      </c>
      <c r="I34" s="26">
        <f t="shared" si="0"/>
        <v>435847634</v>
      </c>
      <c r="J34" s="27">
        <v>89129234</v>
      </c>
      <c r="K34" s="27">
        <v>83449633.549999997</v>
      </c>
      <c r="L34" s="29">
        <f t="shared" si="1"/>
        <v>0.93627679499635319</v>
      </c>
      <c r="M34" s="26">
        <v>5679600.4500000002</v>
      </c>
      <c r="N34" s="30">
        <v>0</v>
      </c>
      <c r="P34" s="61">
        <v>0</v>
      </c>
      <c r="R34" s="68">
        <f t="shared" si="2"/>
        <v>0</v>
      </c>
    </row>
    <row r="35" spans="2:18" ht="34.15" customHeight="1">
      <c r="B35" s="51">
        <v>31</v>
      </c>
      <c r="C35" s="24" t="s">
        <v>101</v>
      </c>
      <c r="D35" s="24" t="s">
        <v>20</v>
      </c>
      <c r="E35" s="25" t="s">
        <v>102</v>
      </c>
      <c r="F35" s="26">
        <v>143395000</v>
      </c>
      <c r="G35" s="27">
        <v>37429000</v>
      </c>
      <c r="H35" s="28">
        <v>0</v>
      </c>
      <c r="I35" s="26">
        <f t="shared" si="0"/>
        <v>180824000</v>
      </c>
      <c r="J35" s="27">
        <v>37429000</v>
      </c>
      <c r="K35" s="27">
        <v>33892763.72466895</v>
      </c>
      <c r="L35" s="29">
        <f t="shared" si="1"/>
        <v>0.90552148667260546</v>
      </c>
      <c r="M35" s="26">
        <v>3536236.16</v>
      </c>
      <c r="N35" s="30">
        <v>0</v>
      </c>
      <c r="P35" s="61">
        <v>0</v>
      </c>
      <c r="R35" s="68">
        <f t="shared" si="2"/>
        <v>0</v>
      </c>
    </row>
    <row r="36" spans="2:18" ht="35.450000000000003" customHeight="1">
      <c r="B36" s="51">
        <v>32</v>
      </c>
      <c r="C36" s="24" t="s">
        <v>103</v>
      </c>
      <c r="D36" s="24" t="s">
        <v>20</v>
      </c>
      <c r="E36" s="25" t="s">
        <v>104</v>
      </c>
      <c r="F36" s="26">
        <v>153032500</v>
      </c>
      <c r="G36" s="27">
        <v>40000000</v>
      </c>
      <c r="H36" s="28">
        <v>0</v>
      </c>
      <c r="I36" s="26">
        <f t="shared" si="0"/>
        <v>193032500</v>
      </c>
      <c r="J36" s="27">
        <v>40000000</v>
      </c>
      <c r="K36" s="27">
        <v>36612386.840000004</v>
      </c>
      <c r="L36" s="29">
        <f t="shared" si="1"/>
        <v>0.91530967100000005</v>
      </c>
      <c r="M36" s="26">
        <v>3387612.91</v>
      </c>
      <c r="N36" s="30">
        <v>0</v>
      </c>
      <c r="P36" s="61">
        <v>0</v>
      </c>
      <c r="R36" s="68">
        <f t="shared" si="2"/>
        <v>0</v>
      </c>
    </row>
    <row r="37" spans="2:18" ht="33" customHeight="1">
      <c r="B37" s="51">
        <v>33</v>
      </c>
      <c r="C37" s="24" t="s">
        <v>105</v>
      </c>
      <c r="D37" s="24" t="s">
        <v>20</v>
      </c>
      <c r="E37" s="25" t="s">
        <v>106</v>
      </c>
      <c r="F37" s="26">
        <v>130720000</v>
      </c>
      <c r="G37" s="27">
        <v>35160000</v>
      </c>
      <c r="H37" s="28">
        <v>0</v>
      </c>
      <c r="I37" s="26">
        <f t="shared" si="0"/>
        <v>165880000</v>
      </c>
      <c r="J37" s="27">
        <v>35160000</v>
      </c>
      <c r="K37" s="27">
        <v>35159999.68</v>
      </c>
      <c r="L37" s="29">
        <f t="shared" si="1"/>
        <v>0.99999999089874858</v>
      </c>
      <c r="M37" s="28">
        <v>0.32</v>
      </c>
      <c r="N37" s="30">
        <v>0</v>
      </c>
      <c r="P37" s="61">
        <v>0</v>
      </c>
      <c r="R37" s="68">
        <f t="shared" si="2"/>
        <v>0</v>
      </c>
    </row>
    <row r="38" spans="2:18" ht="37.9" customHeight="1">
      <c r="B38" s="51">
        <v>34</v>
      </c>
      <c r="C38" s="24" t="s">
        <v>107</v>
      </c>
      <c r="D38" s="24" t="s">
        <v>20</v>
      </c>
      <c r="E38" s="25" t="s">
        <v>108</v>
      </c>
      <c r="F38" s="26">
        <v>179600000</v>
      </c>
      <c r="G38" s="27">
        <v>46168909</v>
      </c>
      <c r="H38" s="28">
        <v>0</v>
      </c>
      <c r="I38" s="26">
        <f t="shared" si="0"/>
        <v>225768909</v>
      </c>
      <c r="J38" s="27">
        <v>46168909</v>
      </c>
      <c r="K38" s="27">
        <v>37728908.869999997</v>
      </c>
      <c r="L38" s="29">
        <f t="shared" si="1"/>
        <v>0.81719299171656834</v>
      </c>
      <c r="M38" s="26">
        <v>8440000.1300000008</v>
      </c>
      <c r="N38" s="30">
        <v>0</v>
      </c>
      <c r="P38" s="61">
        <v>0</v>
      </c>
      <c r="R38" s="68">
        <f t="shared" si="2"/>
        <v>0</v>
      </c>
    </row>
    <row r="39" spans="2:18" ht="37.15" customHeight="1">
      <c r="B39" s="51">
        <v>35</v>
      </c>
      <c r="C39" s="24" t="s">
        <v>109</v>
      </c>
      <c r="D39" s="24" t="s">
        <v>20</v>
      </c>
      <c r="E39" s="25" t="s">
        <v>110</v>
      </c>
      <c r="F39" s="26">
        <v>737029554</v>
      </c>
      <c r="G39" s="27">
        <v>314000000</v>
      </c>
      <c r="H39" s="28">
        <v>0</v>
      </c>
      <c r="I39" s="26">
        <f t="shared" si="0"/>
        <v>1051029554</v>
      </c>
      <c r="J39" s="27">
        <v>314000000</v>
      </c>
      <c r="K39" s="27">
        <v>309721794.59200001</v>
      </c>
      <c r="L39" s="29">
        <f t="shared" si="1"/>
        <v>0.9863751420127389</v>
      </c>
      <c r="M39" s="26">
        <v>4278205</v>
      </c>
      <c r="N39" s="30">
        <v>0</v>
      </c>
      <c r="P39" s="61">
        <v>0</v>
      </c>
      <c r="R39" s="68">
        <f t="shared" si="2"/>
        <v>0</v>
      </c>
    </row>
    <row r="40" spans="2:18" ht="38.450000000000003" customHeight="1">
      <c r="B40" s="51">
        <v>36</v>
      </c>
      <c r="C40" s="24" t="s">
        <v>111</v>
      </c>
      <c r="D40" s="24" t="s">
        <v>20</v>
      </c>
      <c r="E40" s="25" t="s">
        <v>112</v>
      </c>
      <c r="F40" s="26">
        <v>5091841479</v>
      </c>
      <c r="G40" s="27">
        <v>1000000000</v>
      </c>
      <c r="H40" s="28">
        <v>0</v>
      </c>
      <c r="I40" s="26">
        <f t="shared" si="0"/>
        <v>6091841479</v>
      </c>
      <c r="J40" s="27">
        <v>1000000000</v>
      </c>
      <c r="K40" s="27">
        <v>996109558.75</v>
      </c>
      <c r="L40" s="29">
        <f t="shared" si="1"/>
        <v>0.99610955874999996</v>
      </c>
      <c r="M40" s="26">
        <v>3890441.25</v>
      </c>
      <c r="N40" s="30">
        <v>0</v>
      </c>
      <c r="P40" s="61">
        <v>0</v>
      </c>
      <c r="R40" s="68">
        <f t="shared" si="2"/>
        <v>0</v>
      </c>
    </row>
    <row r="41" spans="2:18" ht="42" customHeight="1">
      <c r="B41" s="51">
        <v>37</v>
      </c>
      <c r="C41" s="24" t="s">
        <v>113</v>
      </c>
      <c r="D41" s="24" t="s">
        <v>20</v>
      </c>
      <c r="E41" s="25" t="s">
        <v>114</v>
      </c>
      <c r="F41" s="26">
        <v>438008930</v>
      </c>
      <c r="G41" s="27">
        <v>70000000</v>
      </c>
      <c r="H41" s="28">
        <v>0</v>
      </c>
      <c r="I41" s="26">
        <f t="shared" si="0"/>
        <v>508008930</v>
      </c>
      <c r="J41" s="27">
        <v>70000000</v>
      </c>
      <c r="K41" s="27">
        <v>69999921.684381634</v>
      </c>
      <c r="L41" s="29">
        <f t="shared" si="1"/>
        <v>0.99999888120545188</v>
      </c>
      <c r="M41" s="26">
        <v>78.319999999999993</v>
      </c>
      <c r="N41" s="30">
        <v>0</v>
      </c>
      <c r="P41" s="61">
        <v>0</v>
      </c>
      <c r="R41" s="68">
        <f t="shared" si="2"/>
        <v>0</v>
      </c>
    </row>
    <row r="42" spans="2:18" ht="49.9" customHeight="1">
      <c r="B42" s="51">
        <v>38</v>
      </c>
      <c r="C42" s="24" t="s">
        <v>115</v>
      </c>
      <c r="D42" s="24" t="s">
        <v>20</v>
      </c>
      <c r="E42" s="25" t="s">
        <v>116</v>
      </c>
      <c r="F42" s="28">
        <v>0</v>
      </c>
      <c r="G42" s="27">
        <v>61541408</v>
      </c>
      <c r="H42" s="28">
        <v>0</v>
      </c>
      <c r="I42" s="26">
        <f t="shared" si="0"/>
        <v>61541408</v>
      </c>
      <c r="J42" s="27">
        <v>61541408</v>
      </c>
      <c r="K42" s="27">
        <v>61541407.890000001</v>
      </c>
      <c r="L42" s="29">
        <f t="shared" si="1"/>
        <v>0.99999999821258556</v>
      </c>
      <c r="M42" s="28">
        <v>0</v>
      </c>
      <c r="N42" s="30">
        <v>0</v>
      </c>
      <c r="P42" s="61">
        <v>0</v>
      </c>
      <c r="R42" s="68">
        <f t="shared" si="2"/>
        <v>0</v>
      </c>
    </row>
    <row r="43" spans="2:18" ht="37.9" customHeight="1">
      <c r="B43" s="51">
        <v>39</v>
      </c>
      <c r="C43" s="24" t="s">
        <v>117</v>
      </c>
      <c r="D43" s="24" t="s">
        <v>20</v>
      </c>
      <c r="E43" s="25" t="s">
        <v>118</v>
      </c>
      <c r="F43" s="26">
        <v>111000000</v>
      </c>
      <c r="G43" s="27">
        <v>32390215</v>
      </c>
      <c r="H43" s="28">
        <v>0</v>
      </c>
      <c r="I43" s="26">
        <f t="shared" si="0"/>
        <v>143390215</v>
      </c>
      <c r="J43" s="27">
        <v>32390215</v>
      </c>
      <c r="K43" s="27">
        <v>27390215</v>
      </c>
      <c r="L43" s="29">
        <f t="shared" si="1"/>
        <v>0.84563239237528987</v>
      </c>
      <c r="M43" s="26">
        <v>5000000</v>
      </c>
      <c r="N43" s="30">
        <v>0</v>
      </c>
      <c r="P43" s="61">
        <v>0</v>
      </c>
      <c r="R43" s="68">
        <f t="shared" si="2"/>
        <v>0</v>
      </c>
    </row>
    <row r="44" spans="2:18" ht="51" customHeight="1">
      <c r="B44" s="51">
        <v>40</v>
      </c>
      <c r="C44" s="24" t="s">
        <v>119</v>
      </c>
      <c r="D44" s="24" t="s">
        <v>20</v>
      </c>
      <c r="E44" s="25" t="s">
        <v>120</v>
      </c>
      <c r="F44" s="26">
        <v>123260252</v>
      </c>
      <c r="G44" s="27">
        <v>31685921</v>
      </c>
      <c r="H44" s="28">
        <v>0</v>
      </c>
      <c r="I44" s="26">
        <f t="shared" si="0"/>
        <v>154946173</v>
      </c>
      <c r="J44" s="27">
        <v>31685921</v>
      </c>
      <c r="K44" s="27">
        <v>27470858</v>
      </c>
      <c r="L44" s="29">
        <f t="shared" si="1"/>
        <v>0.86697363160124019</v>
      </c>
      <c r="M44" s="26">
        <v>4215063</v>
      </c>
      <c r="N44" s="30">
        <v>0</v>
      </c>
      <c r="P44" s="61">
        <v>0</v>
      </c>
      <c r="R44" s="68">
        <f t="shared" si="2"/>
        <v>0</v>
      </c>
    </row>
    <row r="45" spans="2:18" ht="34.9" customHeight="1">
      <c r="B45" s="51">
        <v>41</v>
      </c>
      <c r="C45" s="24" t="s">
        <v>121</v>
      </c>
      <c r="D45" s="24" t="s">
        <v>20</v>
      </c>
      <c r="E45" s="25" t="s">
        <v>122</v>
      </c>
      <c r="F45" s="26">
        <v>115708500</v>
      </c>
      <c r="G45" s="27">
        <v>118978514</v>
      </c>
      <c r="H45" s="28">
        <v>0</v>
      </c>
      <c r="I45" s="26">
        <f t="shared" si="0"/>
        <v>234687014</v>
      </c>
      <c r="J45" s="27">
        <v>118978514</v>
      </c>
      <c r="K45" s="27">
        <v>100170013</v>
      </c>
      <c r="L45" s="29">
        <f t="shared" si="1"/>
        <v>0.84191682710039561</v>
      </c>
      <c r="M45" s="26">
        <v>18808501</v>
      </c>
      <c r="N45" s="30">
        <v>0</v>
      </c>
      <c r="P45" s="61">
        <v>0</v>
      </c>
      <c r="R45" s="68">
        <f t="shared" si="2"/>
        <v>0</v>
      </c>
    </row>
    <row r="46" spans="2:18" ht="38.450000000000003" customHeight="1">
      <c r="B46" s="51">
        <v>42</v>
      </c>
      <c r="C46" s="24" t="s">
        <v>123</v>
      </c>
      <c r="D46" s="24" t="s">
        <v>20</v>
      </c>
      <c r="E46" s="25" t="s">
        <v>124</v>
      </c>
      <c r="F46" s="26">
        <v>214169558</v>
      </c>
      <c r="G46" s="27">
        <v>78542389</v>
      </c>
      <c r="H46" s="28">
        <v>0</v>
      </c>
      <c r="I46" s="26">
        <f t="shared" si="0"/>
        <v>292711947</v>
      </c>
      <c r="J46" s="27">
        <v>78542389</v>
      </c>
      <c r="K46" s="27">
        <v>60960335.409999996</v>
      </c>
      <c r="L46" s="29">
        <f t="shared" si="1"/>
        <v>0.77614567351650066</v>
      </c>
      <c r="M46" s="26">
        <v>17582053.59</v>
      </c>
      <c r="N46" s="30">
        <v>0</v>
      </c>
      <c r="P46" s="61">
        <v>0</v>
      </c>
      <c r="R46" s="68">
        <f t="shared" si="2"/>
        <v>0</v>
      </c>
    </row>
    <row r="47" spans="2:18" ht="28.9" customHeight="1">
      <c r="B47" s="51">
        <v>43</v>
      </c>
      <c r="C47" s="24" t="s">
        <v>125</v>
      </c>
      <c r="D47" s="24" t="s">
        <v>20</v>
      </c>
      <c r="E47" s="25" t="s">
        <v>126</v>
      </c>
      <c r="F47" s="26">
        <v>135978100</v>
      </c>
      <c r="G47" s="27">
        <v>35629324</v>
      </c>
      <c r="H47" s="28">
        <v>0</v>
      </c>
      <c r="I47" s="26">
        <f t="shared" si="0"/>
        <v>171607424</v>
      </c>
      <c r="J47" s="27">
        <v>35629324</v>
      </c>
      <c r="K47" s="27">
        <v>1138323.5</v>
      </c>
      <c r="L47" s="29">
        <f t="shared" si="1"/>
        <v>3.1949062519401154E-2</v>
      </c>
      <c r="M47" s="26">
        <v>34491000.5</v>
      </c>
      <c r="N47" s="30">
        <v>0</v>
      </c>
      <c r="P47" s="61">
        <v>0</v>
      </c>
      <c r="R47" s="68">
        <f t="shared" si="2"/>
        <v>0</v>
      </c>
    </row>
    <row r="48" spans="2:18" ht="36" customHeight="1">
      <c r="B48" s="51">
        <v>44</v>
      </c>
      <c r="C48" s="24" t="s">
        <v>127</v>
      </c>
      <c r="D48" s="24" t="s">
        <v>20</v>
      </c>
      <c r="E48" s="25" t="s">
        <v>128</v>
      </c>
      <c r="F48" s="26">
        <v>106180000</v>
      </c>
      <c r="G48" s="27">
        <v>63820000</v>
      </c>
      <c r="H48" s="28">
        <v>0</v>
      </c>
      <c r="I48" s="26">
        <f t="shared" si="0"/>
        <v>170000000</v>
      </c>
      <c r="J48" s="27">
        <v>63820000</v>
      </c>
      <c r="K48" s="27">
        <v>63817991.659999996</v>
      </c>
      <c r="L48" s="29">
        <f t="shared" si="1"/>
        <v>0.9999685311814478</v>
      </c>
      <c r="M48" s="26">
        <v>2008.34</v>
      </c>
      <c r="N48" s="30">
        <v>0</v>
      </c>
      <c r="P48" s="61">
        <v>0</v>
      </c>
      <c r="R48" s="68">
        <f t="shared" si="2"/>
        <v>0</v>
      </c>
    </row>
    <row r="49" spans="2:18" ht="30.6" customHeight="1">
      <c r="B49" s="51">
        <v>45</v>
      </c>
      <c r="C49" s="24" t="s">
        <v>129</v>
      </c>
      <c r="D49" s="24" t="s">
        <v>20</v>
      </c>
      <c r="E49" s="25" t="s">
        <v>130</v>
      </c>
      <c r="F49" s="26">
        <v>1286147432</v>
      </c>
      <c r="G49" s="27">
        <f>1166949382+1241007207</f>
        <v>2407956589</v>
      </c>
      <c r="H49" s="28">
        <v>0</v>
      </c>
      <c r="I49" s="26">
        <f t="shared" si="0"/>
        <v>3694104021</v>
      </c>
      <c r="J49" s="27">
        <v>2407956589</v>
      </c>
      <c r="K49" s="27">
        <v>2407778369.4707599</v>
      </c>
      <c r="L49" s="29">
        <f t="shared" si="1"/>
        <v>0.99992598723330217</v>
      </c>
      <c r="M49" s="26">
        <v>178219.53</v>
      </c>
      <c r="N49" s="30">
        <v>0</v>
      </c>
      <c r="P49" s="61">
        <v>0</v>
      </c>
      <c r="R49" s="68">
        <f t="shared" si="2"/>
        <v>0</v>
      </c>
    </row>
    <row r="50" spans="2:18" ht="33.6" customHeight="1">
      <c r="B50" s="51">
        <v>46</v>
      </c>
      <c r="C50" s="24" t="s">
        <v>131</v>
      </c>
      <c r="D50" s="24" t="s">
        <v>20</v>
      </c>
      <c r="E50" s="25" t="s">
        <v>132</v>
      </c>
      <c r="F50" s="28">
        <v>0</v>
      </c>
      <c r="G50" s="27">
        <v>140000000</v>
      </c>
      <c r="H50" s="28">
        <v>0</v>
      </c>
      <c r="I50" s="26">
        <f t="shared" si="0"/>
        <v>140000000</v>
      </c>
      <c r="J50" s="27">
        <v>140000000</v>
      </c>
      <c r="K50" s="27">
        <v>139998286.91999999</v>
      </c>
      <c r="L50" s="29">
        <f t="shared" si="1"/>
        <v>0.99998776371428566</v>
      </c>
      <c r="M50" s="26">
        <v>1713</v>
      </c>
      <c r="N50" s="30">
        <v>0</v>
      </c>
      <c r="P50" s="61">
        <v>0</v>
      </c>
      <c r="R50" s="68">
        <f t="shared" si="2"/>
        <v>0</v>
      </c>
    </row>
    <row r="51" spans="2:18" ht="42.6" customHeight="1">
      <c r="B51" s="51">
        <v>47</v>
      </c>
      <c r="C51" s="24" t="s">
        <v>133</v>
      </c>
      <c r="D51" s="24" t="s">
        <v>20</v>
      </c>
      <c r="E51" s="25" t="s">
        <v>134</v>
      </c>
      <c r="F51" s="26">
        <v>166005000</v>
      </c>
      <c r="G51" s="27">
        <v>115545721</v>
      </c>
      <c r="H51" s="28">
        <v>0</v>
      </c>
      <c r="I51" s="26">
        <f t="shared" si="0"/>
        <v>281550721</v>
      </c>
      <c r="J51" s="27">
        <v>115545721</v>
      </c>
      <c r="K51" s="27">
        <v>96372651.319999993</v>
      </c>
      <c r="L51" s="29">
        <f t="shared" si="1"/>
        <v>0.83406508251395994</v>
      </c>
      <c r="M51" s="26">
        <v>19173069.68</v>
      </c>
      <c r="N51" s="30">
        <v>0</v>
      </c>
      <c r="P51" s="61">
        <v>0</v>
      </c>
      <c r="R51" s="68">
        <f t="shared" si="2"/>
        <v>0</v>
      </c>
    </row>
    <row r="52" spans="2:18" ht="39" customHeight="1">
      <c r="B52" s="51">
        <v>48</v>
      </c>
      <c r="C52" s="24" t="s">
        <v>135</v>
      </c>
      <c r="D52" s="24" t="s">
        <v>20</v>
      </c>
      <c r="E52" s="25" t="s">
        <v>136</v>
      </c>
      <c r="F52" s="26">
        <v>1057439634</v>
      </c>
      <c r="G52" s="27">
        <v>642560366</v>
      </c>
      <c r="H52" s="28">
        <v>0</v>
      </c>
      <c r="I52" s="26">
        <f t="shared" si="0"/>
        <v>1700000000</v>
      </c>
      <c r="J52" s="27">
        <v>642560366</v>
      </c>
      <c r="K52" s="27">
        <v>630184145.14047062</v>
      </c>
      <c r="L52" s="29">
        <f t="shared" si="1"/>
        <v>0.98073920908540857</v>
      </c>
      <c r="M52" s="26">
        <v>12376221.33</v>
      </c>
      <c r="N52" s="30">
        <v>0</v>
      </c>
      <c r="P52" s="61">
        <v>0</v>
      </c>
      <c r="R52" s="68">
        <f t="shared" si="2"/>
        <v>0</v>
      </c>
    </row>
    <row r="53" spans="2:18" ht="36.6" customHeight="1">
      <c r="B53" s="51">
        <v>49</v>
      </c>
      <c r="C53" s="24" t="s">
        <v>137</v>
      </c>
      <c r="D53" s="24" t="s">
        <v>20</v>
      </c>
      <c r="E53" s="25" t="s">
        <v>138</v>
      </c>
      <c r="F53" s="26">
        <v>47200000</v>
      </c>
      <c r="G53" s="27">
        <v>233305293</v>
      </c>
      <c r="H53" s="28">
        <v>0</v>
      </c>
      <c r="I53" s="26">
        <f t="shared" si="0"/>
        <v>280505293</v>
      </c>
      <c r="J53" s="27">
        <v>233305293</v>
      </c>
      <c r="K53" s="27">
        <v>232723555.15799999</v>
      </c>
      <c r="L53" s="29">
        <f t="shared" si="1"/>
        <v>0.99750653817356816</v>
      </c>
      <c r="M53" s="26">
        <v>581738</v>
      </c>
      <c r="N53" s="30">
        <v>0</v>
      </c>
      <c r="P53" s="61">
        <v>0</v>
      </c>
      <c r="R53" s="68">
        <f t="shared" si="2"/>
        <v>0</v>
      </c>
    </row>
    <row r="54" spans="2:18" ht="36" customHeight="1">
      <c r="B54" s="51">
        <v>50</v>
      </c>
      <c r="C54" s="24" t="s">
        <v>139</v>
      </c>
      <c r="D54" s="24" t="s">
        <v>20</v>
      </c>
      <c r="E54" s="25" t="s">
        <v>140</v>
      </c>
      <c r="F54" s="26">
        <v>736831291</v>
      </c>
      <c r="G54" s="27">
        <f>1780000000+194503187</f>
        <v>1974503187</v>
      </c>
      <c r="H54" s="28">
        <v>0</v>
      </c>
      <c r="I54" s="26">
        <f t="shared" si="0"/>
        <v>2711334478</v>
      </c>
      <c r="J54" s="27">
        <v>1974503187</v>
      </c>
      <c r="K54" s="27">
        <v>1930676226.5593925</v>
      </c>
      <c r="L54" s="29">
        <f t="shared" si="1"/>
        <v>0.97780355041756251</v>
      </c>
      <c r="M54" s="26">
        <v>43826960.439999998</v>
      </c>
      <c r="N54" s="30">
        <v>0</v>
      </c>
      <c r="P54" s="61">
        <v>0</v>
      </c>
      <c r="R54" s="68">
        <f t="shared" si="2"/>
        <v>0</v>
      </c>
    </row>
    <row r="55" spans="2:18" ht="30" customHeight="1">
      <c r="B55" s="51">
        <v>51</v>
      </c>
      <c r="C55" s="24" t="s">
        <v>141</v>
      </c>
      <c r="D55" s="24" t="s">
        <v>20</v>
      </c>
      <c r="E55" s="25" t="s">
        <v>142</v>
      </c>
      <c r="F55" s="28">
        <v>0</v>
      </c>
      <c r="G55" s="27">
        <v>14000000</v>
      </c>
      <c r="H55" s="28">
        <v>0</v>
      </c>
      <c r="I55" s="26">
        <f t="shared" si="0"/>
        <v>14000000</v>
      </c>
      <c r="J55" s="27">
        <v>14000000</v>
      </c>
      <c r="K55" s="27">
        <v>13999999.890000001</v>
      </c>
      <c r="L55" s="29">
        <f t="shared" si="1"/>
        <v>0.99999999214285717</v>
      </c>
      <c r="M55" s="28">
        <v>0</v>
      </c>
      <c r="N55" s="30">
        <v>0</v>
      </c>
      <c r="P55" s="61">
        <v>0</v>
      </c>
      <c r="R55" s="68">
        <f t="shared" si="2"/>
        <v>0</v>
      </c>
    </row>
    <row r="56" spans="2:18" ht="21" customHeight="1">
      <c r="B56" s="51">
        <v>52</v>
      </c>
      <c r="C56" s="24" t="s">
        <v>143</v>
      </c>
      <c r="D56" s="24" t="s">
        <v>20</v>
      </c>
      <c r="E56" s="25" t="s">
        <v>144</v>
      </c>
      <c r="F56" s="26">
        <v>552180691</v>
      </c>
      <c r="G56" s="27">
        <v>2800000000</v>
      </c>
      <c r="H56" s="28">
        <v>0</v>
      </c>
      <c r="I56" s="26">
        <f t="shared" si="0"/>
        <v>3352180691</v>
      </c>
      <c r="J56" s="27">
        <v>2800000000</v>
      </c>
      <c r="K56" s="27">
        <v>76955378.489999995</v>
      </c>
      <c r="L56" s="29">
        <f t="shared" si="1"/>
        <v>2.7484063746428568E-2</v>
      </c>
      <c r="M56" s="26">
        <v>2723044621.5100002</v>
      </c>
      <c r="N56" s="30">
        <v>0</v>
      </c>
      <c r="P56" s="61">
        <v>0</v>
      </c>
      <c r="R56" s="68">
        <f t="shared" si="2"/>
        <v>0</v>
      </c>
    </row>
    <row r="57" spans="2:18" ht="24" customHeight="1">
      <c r="B57" s="90">
        <v>53</v>
      </c>
      <c r="C57" s="24" t="s">
        <v>145</v>
      </c>
      <c r="D57" s="24" t="s">
        <v>20</v>
      </c>
      <c r="E57" s="91" t="s">
        <v>146</v>
      </c>
      <c r="F57" s="79">
        <v>105000000</v>
      </c>
      <c r="G57" s="27">
        <v>40000000</v>
      </c>
      <c r="H57" s="28">
        <v>0</v>
      </c>
      <c r="I57" s="79">
        <f>+F57+G57+G58+G59+G60+H57+H58+H59+H60</f>
        <v>210000000</v>
      </c>
      <c r="J57" s="31">
        <v>0</v>
      </c>
      <c r="K57" s="31">
        <v>0</v>
      </c>
      <c r="L57" s="29">
        <f t="shared" si="1"/>
        <v>0</v>
      </c>
      <c r="M57" s="28">
        <v>0</v>
      </c>
      <c r="N57" s="30">
        <v>0</v>
      </c>
      <c r="P57" s="61">
        <v>0</v>
      </c>
      <c r="R57" s="68">
        <f t="shared" si="2"/>
        <v>0</v>
      </c>
    </row>
    <row r="58" spans="2:18" ht="23.25" customHeight="1">
      <c r="B58" s="90"/>
      <c r="C58" s="24" t="s">
        <v>145</v>
      </c>
      <c r="D58" s="24" t="s">
        <v>20</v>
      </c>
      <c r="E58" s="92"/>
      <c r="F58" s="83"/>
      <c r="G58" s="27">
        <v>30000000</v>
      </c>
      <c r="H58" s="28">
        <v>0</v>
      </c>
      <c r="I58" s="83"/>
      <c r="J58" s="31">
        <v>0</v>
      </c>
      <c r="K58" s="31">
        <v>0</v>
      </c>
      <c r="L58" s="29">
        <f t="shared" si="1"/>
        <v>0</v>
      </c>
      <c r="M58" s="28">
        <v>0</v>
      </c>
      <c r="N58" s="30">
        <v>0</v>
      </c>
      <c r="P58" s="61">
        <v>0</v>
      </c>
      <c r="R58" s="68">
        <f t="shared" si="2"/>
        <v>0</v>
      </c>
    </row>
    <row r="59" spans="2:18" ht="21" customHeight="1">
      <c r="B59" s="90"/>
      <c r="C59" s="24" t="s">
        <v>145</v>
      </c>
      <c r="D59" s="24" t="s">
        <v>20</v>
      </c>
      <c r="E59" s="92"/>
      <c r="F59" s="83"/>
      <c r="G59" s="27">
        <v>25000000</v>
      </c>
      <c r="H59" s="28">
        <v>0</v>
      </c>
      <c r="I59" s="83"/>
      <c r="J59" s="31">
        <v>0</v>
      </c>
      <c r="K59" s="31">
        <v>0</v>
      </c>
      <c r="L59" s="29">
        <f t="shared" si="1"/>
        <v>0</v>
      </c>
      <c r="M59" s="28">
        <v>0</v>
      </c>
      <c r="N59" s="30">
        <v>0</v>
      </c>
      <c r="P59" s="61">
        <v>0</v>
      </c>
      <c r="R59" s="68">
        <f t="shared" si="2"/>
        <v>0</v>
      </c>
    </row>
    <row r="60" spans="2:18" ht="21" customHeight="1">
      <c r="B60" s="90"/>
      <c r="C60" s="24" t="s">
        <v>145</v>
      </c>
      <c r="D60" s="24" t="s">
        <v>20</v>
      </c>
      <c r="E60" s="93"/>
      <c r="F60" s="80"/>
      <c r="G60" s="27">
        <v>10000000</v>
      </c>
      <c r="H60" s="28">
        <v>0</v>
      </c>
      <c r="I60" s="80"/>
      <c r="J60" s="31">
        <v>0</v>
      </c>
      <c r="K60" s="31">
        <v>0</v>
      </c>
      <c r="L60" s="29">
        <f t="shared" si="1"/>
        <v>0</v>
      </c>
      <c r="M60" s="28">
        <v>0</v>
      </c>
      <c r="N60" s="30">
        <v>0</v>
      </c>
      <c r="P60" s="61">
        <v>0</v>
      </c>
      <c r="R60" s="68">
        <f t="shared" si="2"/>
        <v>0</v>
      </c>
    </row>
    <row r="61" spans="2:18" ht="33" customHeight="1">
      <c r="B61" s="51">
        <v>54</v>
      </c>
      <c r="C61" s="24" t="s">
        <v>147</v>
      </c>
      <c r="D61" s="24" t="s">
        <v>20</v>
      </c>
      <c r="E61" s="25" t="s">
        <v>148</v>
      </c>
      <c r="F61" s="26">
        <v>733850802</v>
      </c>
      <c r="G61" s="27">
        <v>178222533</v>
      </c>
      <c r="H61" s="28">
        <v>0</v>
      </c>
      <c r="I61" s="26">
        <f>+F61+G61+H61</f>
        <v>912073335</v>
      </c>
      <c r="J61" s="27">
        <v>178222533</v>
      </c>
      <c r="K61" s="27">
        <v>4204982.92</v>
      </c>
      <c r="L61" s="29">
        <f t="shared" si="1"/>
        <v>2.3594002673051447E-2</v>
      </c>
      <c r="M61" s="35">
        <v>174017550.08000001</v>
      </c>
      <c r="N61" s="30">
        <v>0</v>
      </c>
      <c r="P61" s="61">
        <v>0</v>
      </c>
      <c r="R61" s="68">
        <f t="shared" si="2"/>
        <v>0</v>
      </c>
    </row>
    <row r="62" spans="2:18" ht="45" customHeight="1">
      <c r="B62" s="51">
        <v>55</v>
      </c>
      <c r="C62" s="24" t="s">
        <v>149</v>
      </c>
      <c r="D62" s="24" t="s">
        <v>20</v>
      </c>
      <c r="E62" s="25" t="s">
        <v>150</v>
      </c>
      <c r="F62" s="28">
        <v>0</v>
      </c>
      <c r="G62" s="27">
        <v>21608005</v>
      </c>
      <c r="H62" s="28">
        <v>0</v>
      </c>
      <c r="I62" s="26">
        <f t="shared" ref="I62:I76" si="3">+F62+G62+H62</f>
        <v>21608005</v>
      </c>
      <c r="J62" s="27">
        <v>21608005</v>
      </c>
      <c r="K62" s="27">
        <v>20765110</v>
      </c>
      <c r="L62" s="29">
        <f t="shared" si="1"/>
        <v>0.96099153994086917</v>
      </c>
      <c r="M62" s="26">
        <v>842895</v>
      </c>
      <c r="N62" s="30">
        <v>0</v>
      </c>
      <c r="P62" s="61">
        <v>0</v>
      </c>
      <c r="R62" s="68">
        <f t="shared" si="2"/>
        <v>0</v>
      </c>
    </row>
    <row r="63" spans="2:18" ht="36.6" customHeight="1">
      <c r="B63" s="51">
        <v>56</v>
      </c>
      <c r="C63" s="24" t="s">
        <v>151</v>
      </c>
      <c r="D63" s="24" t="s">
        <v>20</v>
      </c>
      <c r="E63" s="25" t="s">
        <v>152</v>
      </c>
      <c r="F63" s="26">
        <v>3342002241</v>
      </c>
      <c r="G63" s="27">
        <v>4300000000</v>
      </c>
      <c r="H63" s="28">
        <v>0</v>
      </c>
      <c r="I63" s="26">
        <f t="shared" si="3"/>
        <v>7642002241</v>
      </c>
      <c r="J63" s="27">
        <v>4300000000</v>
      </c>
      <c r="K63" s="27">
        <v>4299999989.1035862</v>
      </c>
      <c r="L63" s="29">
        <f t="shared" si="1"/>
        <v>0.99999999746595025</v>
      </c>
      <c r="M63" s="26">
        <v>10.9</v>
      </c>
      <c r="N63" s="30">
        <v>0</v>
      </c>
      <c r="P63" s="61">
        <v>0</v>
      </c>
      <c r="R63" s="68">
        <f t="shared" si="2"/>
        <v>0</v>
      </c>
    </row>
    <row r="64" spans="2:18" ht="46.9" customHeight="1">
      <c r="B64" s="51">
        <v>57</v>
      </c>
      <c r="C64" s="24" t="s">
        <v>153</v>
      </c>
      <c r="D64" s="24" t="s">
        <v>20</v>
      </c>
      <c r="E64" s="25" t="s">
        <v>154</v>
      </c>
      <c r="F64" s="26">
        <v>223500000</v>
      </c>
      <c r="G64" s="27">
        <v>78070031</v>
      </c>
      <c r="H64" s="28">
        <v>0</v>
      </c>
      <c r="I64" s="26">
        <f t="shared" si="3"/>
        <v>301570031</v>
      </c>
      <c r="J64" s="27">
        <v>78070031</v>
      </c>
      <c r="K64" s="27">
        <v>2191961.92</v>
      </c>
      <c r="L64" s="29">
        <f t="shared" si="1"/>
        <v>2.8076867549854053E-2</v>
      </c>
      <c r="M64" s="26">
        <v>75878068.670000002</v>
      </c>
      <c r="N64" s="30">
        <v>0</v>
      </c>
      <c r="P64" s="61">
        <v>0</v>
      </c>
      <c r="R64" s="68">
        <f t="shared" si="2"/>
        <v>0</v>
      </c>
    </row>
    <row r="65" spans="2:18" ht="37.15" customHeight="1">
      <c r="B65" s="51">
        <v>58</v>
      </c>
      <c r="C65" s="24" t="s">
        <v>155</v>
      </c>
      <c r="D65" s="24" t="s">
        <v>20</v>
      </c>
      <c r="E65" s="25" t="s">
        <v>156</v>
      </c>
      <c r="F65" s="26">
        <v>809767640</v>
      </c>
      <c r="G65" s="27">
        <v>208200000</v>
      </c>
      <c r="H65" s="28">
        <v>0</v>
      </c>
      <c r="I65" s="26">
        <f t="shared" si="3"/>
        <v>1017967640</v>
      </c>
      <c r="J65" s="27">
        <v>208200000</v>
      </c>
      <c r="K65" s="27">
        <v>4912270.8</v>
      </c>
      <c r="L65" s="29">
        <f t="shared" si="1"/>
        <v>2.3594E-2</v>
      </c>
      <c r="M65" s="26">
        <v>203287729.19999999</v>
      </c>
      <c r="N65" s="30">
        <v>0</v>
      </c>
      <c r="P65" s="61">
        <v>0</v>
      </c>
      <c r="R65" s="68">
        <f t="shared" si="2"/>
        <v>0</v>
      </c>
    </row>
    <row r="66" spans="2:18" ht="40.15" customHeight="1">
      <c r="B66" s="51">
        <v>59</v>
      </c>
      <c r="C66" s="24" t="s">
        <v>157</v>
      </c>
      <c r="D66" s="24" t="s">
        <v>20</v>
      </c>
      <c r="E66" s="25" t="s">
        <v>158</v>
      </c>
      <c r="F66" s="26">
        <v>15000000000</v>
      </c>
      <c r="G66" s="27">
        <v>90000000</v>
      </c>
      <c r="H66" s="26">
        <v>1800000000</v>
      </c>
      <c r="I66" s="26">
        <f t="shared" si="3"/>
        <v>16890000000</v>
      </c>
      <c r="J66" s="27">
        <v>90000000</v>
      </c>
      <c r="K66" s="27">
        <v>87648498.739999995</v>
      </c>
      <c r="L66" s="29">
        <f t="shared" si="1"/>
        <v>0.9738722082222222</v>
      </c>
      <c r="M66" s="26">
        <v>2351501.2600000002</v>
      </c>
      <c r="N66" s="30">
        <v>0</v>
      </c>
      <c r="P66" s="61">
        <v>0</v>
      </c>
      <c r="R66" s="68">
        <f t="shared" si="2"/>
        <v>0</v>
      </c>
    </row>
    <row r="67" spans="2:18" ht="36" customHeight="1">
      <c r="B67" s="51">
        <v>60</v>
      </c>
      <c r="C67" s="24" t="s">
        <v>159</v>
      </c>
      <c r="D67" s="24" t="s">
        <v>20</v>
      </c>
      <c r="E67" s="25" t="s">
        <v>160</v>
      </c>
      <c r="F67" s="26">
        <v>53317437</v>
      </c>
      <c r="G67" s="27">
        <v>15783803</v>
      </c>
      <c r="H67" s="28">
        <v>0</v>
      </c>
      <c r="I67" s="26">
        <f t="shared" si="3"/>
        <v>69101240</v>
      </c>
      <c r="J67" s="27">
        <v>15783803</v>
      </c>
      <c r="K67" s="27">
        <v>13790862.48</v>
      </c>
      <c r="L67" s="29">
        <f t="shared" si="1"/>
        <v>0.87373508653142717</v>
      </c>
      <c r="M67" s="26">
        <v>1992940.52</v>
      </c>
      <c r="N67" s="30">
        <v>0</v>
      </c>
      <c r="P67" s="61">
        <v>0</v>
      </c>
      <c r="R67" s="68">
        <f t="shared" si="2"/>
        <v>0</v>
      </c>
    </row>
    <row r="68" spans="2:18" ht="42" customHeight="1">
      <c r="B68" s="51">
        <v>61</v>
      </c>
      <c r="C68" s="24" t="s">
        <v>161</v>
      </c>
      <c r="D68" s="24" t="s">
        <v>20</v>
      </c>
      <c r="E68" s="25" t="s">
        <v>162</v>
      </c>
      <c r="F68" s="26">
        <v>108500000</v>
      </c>
      <c r="G68" s="27">
        <v>27938871</v>
      </c>
      <c r="H68" s="28">
        <v>0</v>
      </c>
      <c r="I68" s="26">
        <f t="shared" si="3"/>
        <v>136438871</v>
      </c>
      <c r="J68" s="27">
        <v>27938871</v>
      </c>
      <c r="K68" s="27">
        <v>22992621.09</v>
      </c>
      <c r="L68" s="29">
        <f t="shared" si="1"/>
        <v>0.82296171130179163</v>
      </c>
      <c r="M68" s="35">
        <v>4946250.51</v>
      </c>
      <c r="N68" s="30">
        <v>0</v>
      </c>
      <c r="P68" s="61">
        <v>0</v>
      </c>
      <c r="R68" s="68">
        <f t="shared" si="2"/>
        <v>0</v>
      </c>
    </row>
    <row r="69" spans="2:18" ht="24.75" customHeight="1">
      <c r="B69" s="51">
        <v>62</v>
      </c>
      <c r="C69" s="24" t="s">
        <v>145</v>
      </c>
      <c r="D69" s="24" t="s">
        <v>20</v>
      </c>
      <c r="E69" s="25" t="s">
        <v>163</v>
      </c>
      <c r="F69" s="26">
        <v>39730000</v>
      </c>
      <c r="G69" s="27">
        <v>39730000</v>
      </c>
      <c r="H69" s="28">
        <v>0</v>
      </c>
      <c r="I69" s="26">
        <f t="shared" si="3"/>
        <v>79460000</v>
      </c>
      <c r="J69" s="27">
        <v>39730000</v>
      </c>
      <c r="K69" s="27">
        <v>1111049</v>
      </c>
      <c r="L69" s="29">
        <f t="shared" si="1"/>
        <v>2.7964988673546437E-2</v>
      </c>
      <c r="M69" s="26">
        <v>38618951</v>
      </c>
      <c r="N69" s="30">
        <v>0</v>
      </c>
      <c r="P69" s="61">
        <v>0</v>
      </c>
      <c r="R69" s="68">
        <f t="shared" si="2"/>
        <v>0</v>
      </c>
    </row>
    <row r="70" spans="2:18" ht="21" customHeight="1">
      <c r="B70" s="51">
        <v>63</v>
      </c>
      <c r="C70" s="24" t="s">
        <v>145</v>
      </c>
      <c r="D70" s="24" t="s">
        <v>20</v>
      </c>
      <c r="E70" s="25" t="s">
        <v>164</v>
      </c>
      <c r="F70" s="26">
        <v>250000000</v>
      </c>
      <c r="G70" s="27">
        <v>250000000</v>
      </c>
      <c r="H70" s="28">
        <v>0</v>
      </c>
      <c r="I70" s="26">
        <f t="shared" si="3"/>
        <v>500000000</v>
      </c>
      <c r="J70" s="27">
        <v>250000000</v>
      </c>
      <c r="K70" s="27">
        <v>6991250</v>
      </c>
      <c r="L70" s="29">
        <f t="shared" ref="L70:L133" si="4">+K70/G70</f>
        <v>2.7965E-2</v>
      </c>
      <c r="M70" s="26">
        <v>243008750</v>
      </c>
      <c r="N70" s="30">
        <v>0</v>
      </c>
      <c r="P70" s="61">
        <v>0</v>
      </c>
      <c r="R70" s="68">
        <f t="shared" ref="R70:R133" si="5">+P70</f>
        <v>0</v>
      </c>
    </row>
    <row r="71" spans="2:18" ht="20.45" customHeight="1">
      <c r="B71" s="51">
        <v>64</v>
      </c>
      <c r="C71" s="24" t="s">
        <v>145</v>
      </c>
      <c r="D71" s="24" t="s">
        <v>20</v>
      </c>
      <c r="E71" s="25" t="s">
        <v>165</v>
      </c>
      <c r="F71" s="26">
        <v>93921950</v>
      </c>
      <c r="G71" s="27">
        <v>93921950</v>
      </c>
      <c r="H71" s="28">
        <v>0</v>
      </c>
      <c r="I71" s="26">
        <f t="shared" si="3"/>
        <v>187843900</v>
      </c>
      <c r="J71" s="27">
        <v>93921950</v>
      </c>
      <c r="K71" s="27">
        <v>2626528</v>
      </c>
      <c r="L71" s="29">
        <f t="shared" si="4"/>
        <v>2.7965007114950233E-2</v>
      </c>
      <c r="M71" s="26">
        <v>91295422</v>
      </c>
      <c r="N71" s="30">
        <v>0</v>
      </c>
      <c r="P71" s="61">
        <v>0</v>
      </c>
      <c r="R71" s="68">
        <f t="shared" si="5"/>
        <v>0</v>
      </c>
    </row>
    <row r="72" spans="2:18" ht="28.9" customHeight="1">
      <c r="B72" s="51">
        <v>65</v>
      </c>
      <c r="C72" s="24" t="s">
        <v>166</v>
      </c>
      <c r="D72" s="24" t="s">
        <v>20</v>
      </c>
      <c r="E72" s="25" t="s">
        <v>167</v>
      </c>
      <c r="F72" s="26">
        <v>287919596</v>
      </c>
      <c r="G72" s="27">
        <v>306667812</v>
      </c>
      <c r="H72" s="28">
        <v>0</v>
      </c>
      <c r="I72" s="26">
        <f t="shared" si="3"/>
        <v>594587408</v>
      </c>
      <c r="J72" s="27">
        <v>306667812</v>
      </c>
      <c r="K72" s="27">
        <v>306517967</v>
      </c>
      <c r="L72" s="29">
        <f t="shared" si="4"/>
        <v>0.99951137682490132</v>
      </c>
      <c r="M72" s="26">
        <v>149845</v>
      </c>
      <c r="N72" s="30">
        <v>0</v>
      </c>
      <c r="P72" s="61">
        <v>0</v>
      </c>
      <c r="R72" s="68">
        <f t="shared" si="5"/>
        <v>0</v>
      </c>
    </row>
    <row r="73" spans="2:18" ht="37.15" customHeight="1">
      <c r="B73" s="51">
        <v>66</v>
      </c>
      <c r="C73" s="24" t="s">
        <v>168</v>
      </c>
      <c r="D73" s="24" t="s">
        <v>20</v>
      </c>
      <c r="E73" s="33" t="s">
        <v>169</v>
      </c>
      <c r="F73" s="34">
        <v>1617714842</v>
      </c>
      <c r="G73" s="36">
        <v>416063938</v>
      </c>
      <c r="H73" s="28">
        <v>0</v>
      </c>
      <c r="I73" s="26">
        <f t="shared" si="3"/>
        <v>2033778780</v>
      </c>
      <c r="J73" s="31">
        <v>0</v>
      </c>
      <c r="K73" s="31">
        <v>0</v>
      </c>
      <c r="L73" s="29">
        <f t="shared" si="4"/>
        <v>0</v>
      </c>
      <c r="M73" s="28">
        <v>0</v>
      </c>
      <c r="N73" s="30">
        <v>0</v>
      </c>
      <c r="P73" s="61">
        <v>0</v>
      </c>
      <c r="R73" s="68">
        <f t="shared" si="5"/>
        <v>0</v>
      </c>
    </row>
    <row r="74" spans="2:18" ht="40.15" customHeight="1">
      <c r="B74" s="51">
        <v>67</v>
      </c>
      <c r="C74" s="37" t="s">
        <v>170</v>
      </c>
      <c r="D74" s="24" t="s">
        <v>20</v>
      </c>
      <c r="E74" s="25" t="s">
        <v>171</v>
      </c>
      <c r="F74" s="26">
        <v>300000000</v>
      </c>
      <c r="G74" s="27">
        <v>383347600</v>
      </c>
      <c r="H74" s="28">
        <v>0</v>
      </c>
      <c r="I74" s="26">
        <f t="shared" si="3"/>
        <v>683347600</v>
      </c>
      <c r="J74" s="27">
        <v>383347600</v>
      </c>
      <c r="K74" s="27">
        <v>383347600</v>
      </c>
      <c r="L74" s="29">
        <f t="shared" si="4"/>
        <v>1</v>
      </c>
      <c r="M74" s="26"/>
      <c r="N74" s="30">
        <v>0</v>
      </c>
      <c r="P74" s="61">
        <v>0</v>
      </c>
      <c r="R74" s="68">
        <f t="shared" si="5"/>
        <v>0</v>
      </c>
    </row>
    <row r="75" spans="2:18" ht="33.6" customHeight="1">
      <c r="B75" s="51">
        <v>68</v>
      </c>
      <c r="C75" s="24" t="s">
        <v>172</v>
      </c>
      <c r="D75" s="24" t="s">
        <v>20</v>
      </c>
      <c r="E75" s="25" t="s">
        <v>173</v>
      </c>
      <c r="F75" s="26">
        <v>90000000</v>
      </c>
      <c r="G75" s="27">
        <v>90000000</v>
      </c>
      <c r="H75" s="28">
        <v>0</v>
      </c>
      <c r="I75" s="26">
        <f t="shared" si="3"/>
        <v>180000000</v>
      </c>
      <c r="J75" s="27">
        <v>90000000</v>
      </c>
      <c r="K75" s="27">
        <v>89999999.752000004</v>
      </c>
      <c r="L75" s="29">
        <f t="shared" si="4"/>
        <v>0.99999999724444444</v>
      </c>
      <c r="M75" s="28">
        <v>0</v>
      </c>
      <c r="N75" s="30">
        <v>0</v>
      </c>
      <c r="P75" s="61">
        <v>0</v>
      </c>
      <c r="R75" s="68">
        <f t="shared" si="5"/>
        <v>0</v>
      </c>
    </row>
    <row r="76" spans="2:18" ht="36" customHeight="1">
      <c r="B76" s="51">
        <v>69</v>
      </c>
      <c r="C76" s="24" t="s">
        <v>174</v>
      </c>
      <c r="D76" s="24" t="s">
        <v>20</v>
      </c>
      <c r="E76" s="33" t="s">
        <v>175</v>
      </c>
      <c r="F76" s="34">
        <v>73661469</v>
      </c>
      <c r="G76" s="27">
        <v>20489426</v>
      </c>
      <c r="H76" s="28">
        <v>0</v>
      </c>
      <c r="I76" s="26">
        <f t="shared" si="3"/>
        <v>94150895</v>
      </c>
      <c r="J76" s="27">
        <v>20489426</v>
      </c>
      <c r="K76" s="27">
        <v>16957097</v>
      </c>
      <c r="L76" s="29">
        <f t="shared" si="4"/>
        <v>0.82760234474113625</v>
      </c>
      <c r="M76" s="26">
        <v>3532329</v>
      </c>
      <c r="N76" s="30">
        <v>0</v>
      </c>
      <c r="P76" s="61">
        <v>0</v>
      </c>
      <c r="R76" s="68">
        <f t="shared" si="5"/>
        <v>0</v>
      </c>
    </row>
    <row r="77" spans="2:18" ht="39.6" customHeight="1">
      <c r="B77" s="90">
        <v>70</v>
      </c>
      <c r="C77" s="24" t="s">
        <v>176</v>
      </c>
      <c r="D77" s="24" t="s">
        <v>20</v>
      </c>
      <c r="E77" s="32" t="s">
        <v>177</v>
      </c>
      <c r="F77" s="79">
        <v>187812800</v>
      </c>
      <c r="G77" s="36">
        <v>24041577</v>
      </c>
      <c r="H77" s="28">
        <v>0</v>
      </c>
      <c r="I77" s="79">
        <f>+F77+G77+G78+H77+H78</f>
        <v>235895954</v>
      </c>
      <c r="J77" s="27">
        <v>24041577</v>
      </c>
      <c r="K77" s="27">
        <v>22905302</v>
      </c>
      <c r="L77" s="29">
        <f t="shared" si="4"/>
        <v>0.95273708542497026</v>
      </c>
      <c r="M77" s="26">
        <v>1136275</v>
      </c>
      <c r="N77" s="30">
        <v>0</v>
      </c>
      <c r="P77" s="61">
        <v>0</v>
      </c>
      <c r="R77" s="68">
        <f t="shared" si="5"/>
        <v>0</v>
      </c>
    </row>
    <row r="78" spans="2:18" ht="42.6" customHeight="1">
      <c r="B78" s="90"/>
      <c r="C78" s="24" t="s">
        <v>176</v>
      </c>
      <c r="D78" s="24" t="s">
        <v>20</v>
      </c>
      <c r="E78" s="25" t="s">
        <v>177</v>
      </c>
      <c r="F78" s="80"/>
      <c r="G78" s="36">
        <v>24041577</v>
      </c>
      <c r="H78" s="28">
        <v>0</v>
      </c>
      <c r="I78" s="80"/>
      <c r="J78" s="27">
        <v>24041577</v>
      </c>
      <c r="K78" s="27">
        <v>22905302</v>
      </c>
      <c r="L78" s="29">
        <f t="shared" si="4"/>
        <v>0.95273708542497026</v>
      </c>
      <c r="M78" s="26">
        <v>1136275</v>
      </c>
      <c r="N78" s="30">
        <v>0</v>
      </c>
      <c r="P78" s="61">
        <v>0</v>
      </c>
      <c r="R78" s="68">
        <f t="shared" si="5"/>
        <v>0</v>
      </c>
    </row>
    <row r="79" spans="2:18" ht="34.9" customHeight="1">
      <c r="B79" s="51">
        <v>71</v>
      </c>
      <c r="C79" s="24" t="s">
        <v>178</v>
      </c>
      <c r="D79" s="24" t="s">
        <v>20</v>
      </c>
      <c r="E79" s="33" t="s">
        <v>179</v>
      </c>
      <c r="F79" s="34">
        <v>258586000</v>
      </c>
      <c r="G79" s="27">
        <v>268000000</v>
      </c>
      <c r="H79" s="28">
        <v>0</v>
      </c>
      <c r="I79" s="26">
        <f>+F79+G79+H79</f>
        <v>526586000</v>
      </c>
      <c r="J79" s="27">
        <v>268000000</v>
      </c>
      <c r="K79" s="27">
        <v>268000000</v>
      </c>
      <c r="L79" s="29">
        <f t="shared" si="4"/>
        <v>1</v>
      </c>
      <c r="M79" s="28">
        <v>0</v>
      </c>
      <c r="N79" s="30">
        <v>0</v>
      </c>
      <c r="P79" s="61">
        <v>0</v>
      </c>
      <c r="R79" s="68">
        <f t="shared" si="5"/>
        <v>0</v>
      </c>
    </row>
    <row r="80" spans="2:18" ht="44.45" customHeight="1">
      <c r="B80" s="51">
        <v>72</v>
      </c>
      <c r="C80" s="24" t="s">
        <v>180</v>
      </c>
      <c r="D80" s="24" t="s">
        <v>20</v>
      </c>
      <c r="E80" s="33" t="s">
        <v>181</v>
      </c>
      <c r="F80" s="34">
        <v>72000000</v>
      </c>
      <c r="G80" s="36">
        <v>18594063</v>
      </c>
      <c r="H80" s="28">
        <v>0</v>
      </c>
      <c r="I80" s="26">
        <f t="shared" ref="I80:I126" si="6">+F80+G80+H80</f>
        <v>90594063</v>
      </c>
      <c r="J80" s="27">
        <v>18594063</v>
      </c>
      <c r="K80" s="27">
        <v>16154743.5274</v>
      </c>
      <c r="L80" s="29">
        <f t="shared" si="4"/>
        <v>0.86881191740610964</v>
      </c>
      <c r="M80" s="26">
        <v>2439319.4726</v>
      </c>
      <c r="N80" s="30">
        <v>0</v>
      </c>
      <c r="P80" s="61">
        <v>0</v>
      </c>
      <c r="R80" s="68">
        <f t="shared" si="5"/>
        <v>0</v>
      </c>
    </row>
    <row r="81" spans="2:18" ht="25.15">
      <c r="B81" s="51">
        <v>73</v>
      </c>
      <c r="C81" s="24" t="s">
        <v>182</v>
      </c>
      <c r="D81" s="24" t="s">
        <v>20</v>
      </c>
      <c r="E81" s="25" t="s">
        <v>183</v>
      </c>
      <c r="F81" s="34">
        <v>27838140</v>
      </c>
      <c r="G81" s="36">
        <v>53088368</v>
      </c>
      <c r="H81" s="28">
        <v>0</v>
      </c>
      <c r="I81" s="34">
        <f>+F81+G81+H81</f>
        <v>80926508</v>
      </c>
      <c r="J81" s="27">
        <v>53088368</v>
      </c>
      <c r="K81" s="27">
        <v>1484617</v>
      </c>
      <c r="L81" s="29">
        <f t="shared" si="4"/>
        <v>2.7965014859752328E-2</v>
      </c>
      <c r="M81" s="26">
        <v>51603751</v>
      </c>
      <c r="N81" s="30">
        <v>0</v>
      </c>
      <c r="P81" s="61">
        <v>0</v>
      </c>
      <c r="R81" s="68">
        <f t="shared" si="5"/>
        <v>0</v>
      </c>
    </row>
    <row r="82" spans="2:18" ht="25.15">
      <c r="B82" s="90">
        <v>74</v>
      </c>
      <c r="C82" s="24" t="s">
        <v>184</v>
      </c>
      <c r="D82" s="24" t="s">
        <v>20</v>
      </c>
      <c r="E82" s="25" t="s">
        <v>185</v>
      </c>
      <c r="F82" s="79">
        <v>165168029</v>
      </c>
      <c r="G82" s="36">
        <v>124010673</v>
      </c>
      <c r="H82" s="28">
        <v>0</v>
      </c>
      <c r="I82" s="79">
        <f>+F82+G82+G83+H82+H83</f>
        <v>347818566</v>
      </c>
      <c r="J82" s="36">
        <v>124010673</v>
      </c>
      <c r="K82" s="27">
        <v>120483115.197</v>
      </c>
      <c r="L82" s="29">
        <f t="shared" si="4"/>
        <v>0.97155440158767625</v>
      </c>
      <c r="M82" s="26">
        <v>3527557.8030000031</v>
      </c>
      <c r="N82" s="30">
        <v>0</v>
      </c>
      <c r="P82" s="61">
        <v>0</v>
      </c>
      <c r="R82" s="68">
        <f t="shared" si="5"/>
        <v>0</v>
      </c>
    </row>
    <row r="83" spans="2:18" ht="25.15">
      <c r="B83" s="90"/>
      <c r="C83" s="24" t="s">
        <v>184</v>
      </c>
      <c r="D83" s="24" t="s">
        <v>20</v>
      </c>
      <c r="E83" s="25" t="s">
        <v>185</v>
      </c>
      <c r="F83" s="80"/>
      <c r="G83" s="36">
        <v>58639864</v>
      </c>
      <c r="H83" s="28">
        <v>0</v>
      </c>
      <c r="I83" s="80"/>
      <c r="J83" s="36">
        <v>58639864</v>
      </c>
      <c r="K83" s="27">
        <v>56823147.879999995</v>
      </c>
      <c r="L83" s="29">
        <f t="shared" si="4"/>
        <v>0.96901909390512908</v>
      </c>
      <c r="M83" s="26">
        <v>1816716.1200000048</v>
      </c>
      <c r="N83" s="30">
        <v>0</v>
      </c>
      <c r="P83" s="61">
        <v>0</v>
      </c>
      <c r="R83" s="68">
        <f t="shared" si="5"/>
        <v>0</v>
      </c>
    </row>
    <row r="84" spans="2:18" ht="37.9">
      <c r="B84" s="51">
        <v>75</v>
      </c>
      <c r="C84" s="24" t="s">
        <v>186</v>
      </c>
      <c r="D84" s="24" t="s">
        <v>20</v>
      </c>
      <c r="E84" s="33" t="s">
        <v>187</v>
      </c>
      <c r="F84" s="34">
        <v>240000000</v>
      </c>
      <c r="G84" s="36">
        <v>60000000</v>
      </c>
      <c r="H84" s="28">
        <v>0</v>
      </c>
      <c r="I84" s="26">
        <f>+F84+G84+H84</f>
        <v>300000000</v>
      </c>
      <c r="J84" s="36">
        <v>60000000</v>
      </c>
      <c r="K84" s="27">
        <v>59971370</v>
      </c>
      <c r="L84" s="29">
        <f t="shared" si="4"/>
        <v>0.99952283333333336</v>
      </c>
      <c r="M84" s="26">
        <v>28630</v>
      </c>
      <c r="N84" s="30">
        <v>0</v>
      </c>
      <c r="P84" s="61">
        <v>0</v>
      </c>
      <c r="R84" s="68">
        <f t="shared" si="5"/>
        <v>0</v>
      </c>
    </row>
    <row r="85" spans="2:18" ht="25.15">
      <c r="B85" s="90">
        <v>76</v>
      </c>
      <c r="C85" s="24" t="s">
        <v>188</v>
      </c>
      <c r="D85" s="24" t="s">
        <v>20</v>
      </c>
      <c r="E85" s="32" t="s">
        <v>189</v>
      </c>
      <c r="F85" s="83">
        <v>342700001</v>
      </c>
      <c r="G85" s="36">
        <v>9895791</v>
      </c>
      <c r="H85" s="28">
        <v>0</v>
      </c>
      <c r="I85" s="79">
        <f>+F85+G85+G86+G87+G88+G89+G90+G91+G92+G93+H85+H86+H87+H88+H89+H90+H91+H92+H93</f>
        <v>431338514</v>
      </c>
      <c r="J85" s="27">
        <v>9895791</v>
      </c>
      <c r="K85" s="27">
        <v>8794551.9900000002</v>
      </c>
      <c r="L85" s="29">
        <f t="shared" si="4"/>
        <v>0.88871642398268114</v>
      </c>
      <c r="M85" s="26">
        <v>1101239.0099999998</v>
      </c>
      <c r="N85" s="30">
        <v>0</v>
      </c>
      <c r="P85" s="61">
        <v>0</v>
      </c>
      <c r="R85" s="68">
        <f t="shared" si="5"/>
        <v>0</v>
      </c>
    </row>
    <row r="86" spans="2:18" ht="25.15">
      <c r="B86" s="90"/>
      <c r="C86" s="24" t="s">
        <v>188</v>
      </c>
      <c r="D86" s="24" t="s">
        <v>20</v>
      </c>
      <c r="E86" s="32" t="s">
        <v>189</v>
      </c>
      <c r="F86" s="83"/>
      <c r="G86" s="36">
        <v>9810169</v>
      </c>
      <c r="H86" s="28">
        <v>0</v>
      </c>
      <c r="I86" s="83"/>
      <c r="J86" s="27">
        <v>9810169</v>
      </c>
      <c r="K86" s="27">
        <v>8708930</v>
      </c>
      <c r="L86" s="29">
        <f t="shared" si="4"/>
        <v>0.88774515505288443</v>
      </c>
      <c r="M86" s="26">
        <v>1101239</v>
      </c>
      <c r="N86" s="30">
        <v>0</v>
      </c>
      <c r="P86" s="61">
        <v>0</v>
      </c>
      <c r="R86" s="68">
        <f t="shared" si="5"/>
        <v>0</v>
      </c>
    </row>
    <row r="87" spans="2:18" ht="25.15">
      <c r="B87" s="90"/>
      <c r="C87" s="24" t="s">
        <v>188</v>
      </c>
      <c r="D87" s="24" t="s">
        <v>20</v>
      </c>
      <c r="E87" s="32" t="s">
        <v>189</v>
      </c>
      <c r="F87" s="83"/>
      <c r="G87" s="36">
        <v>9895791</v>
      </c>
      <c r="H87" s="28">
        <v>0</v>
      </c>
      <c r="I87" s="83"/>
      <c r="J87" s="27">
        <v>9895791</v>
      </c>
      <c r="K87" s="27">
        <v>8794551.9900000002</v>
      </c>
      <c r="L87" s="29">
        <f t="shared" si="4"/>
        <v>0.88871642398268114</v>
      </c>
      <c r="M87" s="26">
        <v>1101239.0099999998</v>
      </c>
      <c r="N87" s="30">
        <v>0</v>
      </c>
      <c r="P87" s="61">
        <v>0</v>
      </c>
      <c r="R87" s="68">
        <f t="shared" si="5"/>
        <v>0</v>
      </c>
    </row>
    <row r="88" spans="2:18" ht="25.15">
      <c r="B88" s="90"/>
      <c r="C88" s="24" t="s">
        <v>188</v>
      </c>
      <c r="D88" s="24" t="s">
        <v>20</v>
      </c>
      <c r="E88" s="32" t="s">
        <v>189</v>
      </c>
      <c r="F88" s="83"/>
      <c r="G88" s="36">
        <v>9810169</v>
      </c>
      <c r="H88" s="28">
        <v>0</v>
      </c>
      <c r="I88" s="83"/>
      <c r="J88" s="27">
        <v>9810169</v>
      </c>
      <c r="K88" s="27">
        <v>8708930</v>
      </c>
      <c r="L88" s="29">
        <f t="shared" si="4"/>
        <v>0.88774515505288443</v>
      </c>
      <c r="M88" s="26">
        <v>1101239</v>
      </c>
      <c r="N88" s="30">
        <v>0</v>
      </c>
      <c r="P88" s="61">
        <v>0</v>
      </c>
      <c r="R88" s="68">
        <f t="shared" si="5"/>
        <v>0</v>
      </c>
    </row>
    <row r="89" spans="2:18" ht="25.15">
      <c r="B89" s="90"/>
      <c r="C89" s="24" t="s">
        <v>188</v>
      </c>
      <c r="D89" s="24" t="s">
        <v>20</v>
      </c>
      <c r="E89" s="32" t="s">
        <v>189</v>
      </c>
      <c r="F89" s="83"/>
      <c r="G89" s="36">
        <v>9855232</v>
      </c>
      <c r="H89" s="28">
        <v>0</v>
      </c>
      <c r="I89" s="83"/>
      <c r="J89" s="27">
        <v>9855232</v>
      </c>
      <c r="K89" s="27">
        <v>8753993</v>
      </c>
      <c r="L89" s="29">
        <f t="shared" si="4"/>
        <v>0.88825843978102192</v>
      </c>
      <c r="M89" s="26">
        <v>1101239</v>
      </c>
      <c r="N89" s="30">
        <v>0</v>
      </c>
      <c r="P89" s="61">
        <v>0</v>
      </c>
      <c r="R89" s="68">
        <f t="shared" si="5"/>
        <v>0</v>
      </c>
    </row>
    <row r="90" spans="2:18" ht="25.15">
      <c r="B90" s="90"/>
      <c r="C90" s="24" t="s">
        <v>188</v>
      </c>
      <c r="D90" s="24" t="s">
        <v>20</v>
      </c>
      <c r="E90" s="32" t="s">
        <v>189</v>
      </c>
      <c r="F90" s="83"/>
      <c r="G90" s="36">
        <v>9810169</v>
      </c>
      <c r="H90" s="28">
        <v>0</v>
      </c>
      <c r="I90" s="83"/>
      <c r="J90" s="27">
        <v>9810169</v>
      </c>
      <c r="K90" s="27">
        <v>8708930</v>
      </c>
      <c r="L90" s="29">
        <f t="shared" si="4"/>
        <v>0.88774515505288443</v>
      </c>
      <c r="M90" s="26">
        <v>1101239</v>
      </c>
      <c r="N90" s="30">
        <v>0</v>
      </c>
      <c r="P90" s="61">
        <v>0</v>
      </c>
      <c r="R90" s="68">
        <f t="shared" si="5"/>
        <v>0</v>
      </c>
    </row>
    <row r="91" spans="2:18" ht="25.15">
      <c r="B91" s="90"/>
      <c r="C91" s="24" t="s">
        <v>188</v>
      </c>
      <c r="D91" s="24" t="s">
        <v>20</v>
      </c>
      <c r="E91" s="32" t="s">
        <v>189</v>
      </c>
      <c r="F91" s="83"/>
      <c r="G91" s="36">
        <v>9810169</v>
      </c>
      <c r="H91" s="28">
        <v>0</v>
      </c>
      <c r="I91" s="83"/>
      <c r="J91" s="27">
        <v>9810169</v>
      </c>
      <c r="K91" s="27">
        <v>8708930</v>
      </c>
      <c r="L91" s="29">
        <f t="shared" si="4"/>
        <v>0.88774515505288443</v>
      </c>
      <c r="M91" s="26">
        <v>1101239</v>
      </c>
      <c r="N91" s="30">
        <v>0</v>
      </c>
      <c r="P91" s="61">
        <v>0</v>
      </c>
      <c r="R91" s="68">
        <f t="shared" si="5"/>
        <v>0</v>
      </c>
    </row>
    <row r="92" spans="2:18" ht="25.15">
      <c r="B92" s="90"/>
      <c r="C92" s="24" t="s">
        <v>188</v>
      </c>
      <c r="D92" s="24" t="s">
        <v>20</v>
      </c>
      <c r="E92" s="32" t="s">
        <v>189</v>
      </c>
      <c r="F92" s="83"/>
      <c r="G92" s="36">
        <v>9895791</v>
      </c>
      <c r="H92" s="28">
        <v>0</v>
      </c>
      <c r="I92" s="83"/>
      <c r="J92" s="27">
        <v>9895791</v>
      </c>
      <c r="K92" s="27">
        <v>8794551.9900000002</v>
      </c>
      <c r="L92" s="29">
        <f t="shared" si="4"/>
        <v>0.88871642398268114</v>
      </c>
      <c r="M92" s="26">
        <v>1101239.0099999998</v>
      </c>
      <c r="N92" s="30">
        <v>0</v>
      </c>
      <c r="P92" s="61">
        <v>0</v>
      </c>
      <c r="R92" s="68">
        <f t="shared" si="5"/>
        <v>0</v>
      </c>
    </row>
    <row r="93" spans="2:18" ht="25.15">
      <c r="B93" s="90"/>
      <c r="C93" s="24" t="s">
        <v>188</v>
      </c>
      <c r="D93" s="24" t="s">
        <v>20</v>
      </c>
      <c r="E93" s="25" t="s">
        <v>189</v>
      </c>
      <c r="F93" s="80"/>
      <c r="G93" s="36">
        <v>9855232</v>
      </c>
      <c r="H93" s="28">
        <v>0</v>
      </c>
      <c r="I93" s="80"/>
      <c r="J93" s="27">
        <v>9855232</v>
      </c>
      <c r="K93" s="27">
        <v>8753993</v>
      </c>
      <c r="L93" s="29">
        <f t="shared" si="4"/>
        <v>0.88825843978102192</v>
      </c>
      <c r="M93" s="26">
        <v>1101239</v>
      </c>
      <c r="N93" s="30">
        <v>0</v>
      </c>
      <c r="P93" s="61">
        <v>0</v>
      </c>
      <c r="R93" s="68">
        <f t="shared" si="5"/>
        <v>0</v>
      </c>
    </row>
    <row r="94" spans="2:18" ht="22.5" customHeight="1">
      <c r="B94" s="51">
        <v>77</v>
      </c>
      <c r="C94" s="24" t="s">
        <v>145</v>
      </c>
      <c r="D94" s="24" t="s">
        <v>20</v>
      </c>
      <c r="E94" s="25" t="s">
        <v>190</v>
      </c>
      <c r="F94" s="26">
        <v>5925675</v>
      </c>
      <c r="G94" s="27">
        <v>9535298.5</v>
      </c>
      <c r="H94" s="28">
        <v>0</v>
      </c>
      <c r="I94" s="34">
        <f t="shared" ref="I94:I104" si="7">+F94+G94+H94</f>
        <v>15460973.5</v>
      </c>
      <c r="J94" s="27">
        <v>9535298.5</v>
      </c>
      <c r="K94" s="27">
        <v>8343807</v>
      </c>
      <c r="L94" s="29">
        <f t="shared" si="4"/>
        <v>0.87504413207410336</v>
      </c>
      <c r="M94" s="26">
        <v>1191491.5</v>
      </c>
      <c r="N94" s="30">
        <v>0</v>
      </c>
      <c r="P94" s="61">
        <v>0</v>
      </c>
      <c r="R94" s="68">
        <f t="shared" si="5"/>
        <v>0</v>
      </c>
    </row>
    <row r="95" spans="2:18" ht="19.5" customHeight="1">
      <c r="B95" s="51">
        <v>78</v>
      </c>
      <c r="C95" s="24" t="s">
        <v>145</v>
      </c>
      <c r="D95" s="24" t="s">
        <v>20</v>
      </c>
      <c r="E95" s="25" t="s">
        <v>191</v>
      </c>
      <c r="F95" s="26">
        <v>51750000</v>
      </c>
      <c r="G95" s="27">
        <v>51750000</v>
      </c>
      <c r="H95" s="28">
        <v>0</v>
      </c>
      <c r="I95" s="26">
        <f t="shared" si="7"/>
        <v>103500000</v>
      </c>
      <c r="J95" s="27">
        <v>51750000</v>
      </c>
      <c r="K95" s="27">
        <v>41053535.889999993</v>
      </c>
      <c r="L95" s="29">
        <f t="shared" si="4"/>
        <v>0.79330504135265689</v>
      </c>
      <c r="M95" s="26">
        <v>10696464.110000007</v>
      </c>
      <c r="N95" s="30">
        <v>0</v>
      </c>
      <c r="P95" s="61">
        <v>0</v>
      </c>
      <c r="R95" s="68">
        <f t="shared" si="5"/>
        <v>0</v>
      </c>
    </row>
    <row r="96" spans="2:18" ht="18" customHeight="1">
      <c r="B96" s="51">
        <v>79</v>
      </c>
      <c r="C96" s="24" t="s">
        <v>145</v>
      </c>
      <c r="D96" s="24" t="s">
        <v>20</v>
      </c>
      <c r="E96" s="25" t="s">
        <v>192</v>
      </c>
      <c r="F96" s="26">
        <v>150000000</v>
      </c>
      <c r="G96" s="27">
        <v>150000000</v>
      </c>
      <c r="H96" s="28">
        <v>0</v>
      </c>
      <c r="I96" s="26">
        <f t="shared" si="7"/>
        <v>300000000</v>
      </c>
      <c r="J96" s="27">
        <v>150000000</v>
      </c>
      <c r="K96" s="27">
        <v>22817301.280000001</v>
      </c>
      <c r="L96" s="29">
        <f t="shared" si="4"/>
        <v>0.15211534186666667</v>
      </c>
      <c r="M96" s="26">
        <v>127182698.72</v>
      </c>
      <c r="N96" s="30">
        <v>0</v>
      </c>
      <c r="P96" s="61">
        <v>0</v>
      </c>
      <c r="R96" s="68">
        <f t="shared" si="5"/>
        <v>0</v>
      </c>
    </row>
    <row r="97" spans="2:18" ht="18.600000000000001" customHeight="1">
      <c r="B97" s="51">
        <v>80</v>
      </c>
      <c r="C97" s="24" t="s">
        <v>145</v>
      </c>
      <c r="D97" s="24" t="s">
        <v>20</v>
      </c>
      <c r="E97" s="25" t="s">
        <v>193</v>
      </c>
      <c r="F97" s="26">
        <v>200000000</v>
      </c>
      <c r="G97" s="27">
        <v>200000000</v>
      </c>
      <c r="H97" s="28">
        <v>0</v>
      </c>
      <c r="I97" s="26">
        <f t="shared" si="7"/>
        <v>400000000</v>
      </c>
      <c r="J97" s="27">
        <v>200000000</v>
      </c>
      <c r="K97" s="27">
        <v>161672223.13</v>
      </c>
      <c r="L97" s="29">
        <f t="shared" si="4"/>
        <v>0.80836111565000002</v>
      </c>
      <c r="M97" s="26">
        <v>38327776.859999999</v>
      </c>
      <c r="N97" s="30">
        <v>0</v>
      </c>
      <c r="P97" s="61">
        <v>0</v>
      </c>
      <c r="R97" s="68">
        <f t="shared" si="5"/>
        <v>0</v>
      </c>
    </row>
    <row r="98" spans="2:18" ht="19.5" customHeight="1">
      <c r="B98" s="51">
        <v>81</v>
      </c>
      <c r="C98" s="24" t="s">
        <v>194</v>
      </c>
      <c r="D98" s="24" t="s">
        <v>20</v>
      </c>
      <c r="E98" s="25" t="s">
        <v>195</v>
      </c>
      <c r="F98" s="26">
        <v>250000000</v>
      </c>
      <c r="G98" s="27">
        <v>250000000</v>
      </c>
      <c r="H98" s="28">
        <v>0</v>
      </c>
      <c r="I98" s="26">
        <f t="shared" si="7"/>
        <v>500000000</v>
      </c>
      <c r="J98" s="27">
        <v>250000000</v>
      </c>
      <c r="K98" s="27">
        <v>94972115</v>
      </c>
      <c r="L98" s="29">
        <f t="shared" si="4"/>
        <v>0.37988845999999998</v>
      </c>
      <c r="M98" s="26">
        <v>155027885</v>
      </c>
      <c r="N98" s="30">
        <v>0</v>
      </c>
      <c r="P98" s="61">
        <v>0</v>
      </c>
      <c r="R98" s="68">
        <f t="shared" si="5"/>
        <v>0</v>
      </c>
    </row>
    <row r="99" spans="2:18" ht="17.45" customHeight="1">
      <c r="B99" s="51">
        <v>82</v>
      </c>
      <c r="C99" s="24" t="s">
        <v>145</v>
      </c>
      <c r="D99" s="24" t="s">
        <v>20</v>
      </c>
      <c r="E99" s="25" t="s">
        <v>196</v>
      </c>
      <c r="F99" s="26">
        <v>10666215</v>
      </c>
      <c r="G99" s="27">
        <v>11000000</v>
      </c>
      <c r="H99" s="28">
        <v>0</v>
      </c>
      <c r="I99" s="26">
        <f t="shared" si="7"/>
        <v>21666215</v>
      </c>
      <c r="J99" s="27">
        <v>11000000</v>
      </c>
      <c r="K99" s="27">
        <v>8565789.4400000013</v>
      </c>
      <c r="L99" s="29">
        <f t="shared" si="4"/>
        <v>0.77870813090909108</v>
      </c>
      <c r="M99" s="26">
        <v>2434210.5600000005</v>
      </c>
      <c r="N99" s="30">
        <v>0</v>
      </c>
      <c r="P99" s="61">
        <v>0</v>
      </c>
      <c r="R99" s="68">
        <f t="shared" si="5"/>
        <v>0</v>
      </c>
    </row>
    <row r="100" spans="2:18" ht="35.450000000000003" customHeight="1">
      <c r="B100" s="51">
        <v>83</v>
      </c>
      <c r="C100" s="24" t="s">
        <v>197</v>
      </c>
      <c r="D100" s="24" t="s">
        <v>20</v>
      </c>
      <c r="E100" s="25" t="s">
        <v>198</v>
      </c>
      <c r="F100" s="26">
        <v>729721282</v>
      </c>
      <c r="G100" s="27">
        <v>250000000</v>
      </c>
      <c r="H100" s="28">
        <v>0</v>
      </c>
      <c r="I100" s="26">
        <f t="shared" si="7"/>
        <v>979721282</v>
      </c>
      <c r="J100" s="27">
        <v>250000000</v>
      </c>
      <c r="K100" s="27">
        <v>232492031.13745818</v>
      </c>
      <c r="L100" s="29">
        <f t="shared" si="4"/>
        <v>0.92996812454983269</v>
      </c>
      <c r="M100" s="26">
        <v>17507968.864541844</v>
      </c>
      <c r="N100" s="30">
        <v>0</v>
      </c>
      <c r="P100" s="61">
        <v>0</v>
      </c>
      <c r="R100" s="68">
        <f t="shared" si="5"/>
        <v>0</v>
      </c>
    </row>
    <row r="101" spans="2:18" ht="19.5" customHeight="1">
      <c r="B101" s="51">
        <v>84</v>
      </c>
      <c r="C101" s="24" t="s">
        <v>145</v>
      </c>
      <c r="D101" s="24" t="s">
        <v>20</v>
      </c>
      <c r="E101" s="25" t="s">
        <v>199</v>
      </c>
      <c r="F101" s="26">
        <v>39730400</v>
      </c>
      <c r="G101" s="27">
        <v>39730400</v>
      </c>
      <c r="H101" s="28">
        <v>0</v>
      </c>
      <c r="I101" s="34">
        <f t="shared" si="7"/>
        <v>79460800</v>
      </c>
      <c r="J101" s="27">
        <v>39730400</v>
      </c>
      <c r="K101" s="27">
        <v>32039892.640000001</v>
      </c>
      <c r="L101" s="29">
        <f t="shared" si="4"/>
        <v>0.80643267221070014</v>
      </c>
      <c r="M101" s="26">
        <v>7690507.3605577694</v>
      </c>
      <c r="N101" s="30">
        <v>0</v>
      </c>
      <c r="P101" s="61">
        <v>0</v>
      </c>
      <c r="R101" s="68">
        <f t="shared" si="5"/>
        <v>0</v>
      </c>
    </row>
    <row r="102" spans="2:18" ht="19.5" customHeight="1">
      <c r="B102" s="51">
        <v>85</v>
      </c>
      <c r="C102" s="24" t="s">
        <v>145</v>
      </c>
      <c r="D102" s="24" t="s">
        <v>20</v>
      </c>
      <c r="E102" s="25" t="s">
        <v>200</v>
      </c>
      <c r="F102" s="26">
        <v>38000000</v>
      </c>
      <c r="G102" s="27">
        <v>38000000</v>
      </c>
      <c r="H102" s="28">
        <v>0</v>
      </c>
      <c r="I102" s="26">
        <f t="shared" si="7"/>
        <v>76000000</v>
      </c>
      <c r="J102" s="27">
        <v>38000000</v>
      </c>
      <c r="K102" s="27">
        <v>30541019.41</v>
      </c>
      <c r="L102" s="29">
        <f t="shared" si="4"/>
        <v>0.80371103710526315</v>
      </c>
      <c r="M102" s="26">
        <v>7458980.5899999999</v>
      </c>
      <c r="N102" s="30">
        <v>0</v>
      </c>
      <c r="P102" s="61">
        <v>0</v>
      </c>
      <c r="R102" s="68">
        <f t="shared" si="5"/>
        <v>0</v>
      </c>
    </row>
    <row r="103" spans="2:18" ht="19.5" customHeight="1">
      <c r="B103" s="51">
        <v>86</v>
      </c>
      <c r="C103" s="24" t="s">
        <v>194</v>
      </c>
      <c r="D103" s="24" t="s">
        <v>20</v>
      </c>
      <c r="E103" s="25" t="s">
        <v>201</v>
      </c>
      <c r="F103" s="26">
        <v>266951663</v>
      </c>
      <c r="G103" s="27">
        <v>266951663</v>
      </c>
      <c r="H103" s="28">
        <v>0</v>
      </c>
      <c r="I103" s="26">
        <f t="shared" si="7"/>
        <v>533903326</v>
      </c>
      <c r="J103" s="27">
        <v>266951663</v>
      </c>
      <c r="K103" s="27">
        <v>52730820.5</v>
      </c>
      <c r="L103" s="29">
        <f t="shared" si="4"/>
        <v>0.19752946996999979</v>
      </c>
      <c r="M103" s="26">
        <v>214220842.5</v>
      </c>
      <c r="N103" s="30">
        <v>0</v>
      </c>
      <c r="P103" s="61">
        <v>0</v>
      </c>
      <c r="R103" s="68">
        <f t="shared" si="5"/>
        <v>0</v>
      </c>
    </row>
    <row r="104" spans="2:18" ht="22.9" customHeight="1">
      <c r="B104" s="51">
        <v>87</v>
      </c>
      <c r="C104" s="24" t="s">
        <v>202</v>
      </c>
      <c r="D104" s="24" t="s">
        <v>20</v>
      </c>
      <c r="E104" s="25" t="s">
        <v>203</v>
      </c>
      <c r="F104" s="26">
        <v>350000000</v>
      </c>
      <c r="G104" s="27">
        <v>350000000</v>
      </c>
      <c r="H104" s="28">
        <v>0</v>
      </c>
      <c r="I104" s="34">
        <f t="shared" si="7"/>
        <v>700000000</v>
      </c>
      <c r="J104" s="27">
        <v>350000000</v>
      </c>
      <c r="K104" s="27">
        <v>115619805</v>
      </c>
      <c r="L104" s="29">
        <f t="shared" si="4"/>
        <v>0.33034229999999998</v>
      </c>
      <c r="M104" s="26">
        <v>234380195</v>
      </c>
      <c r="N104" s="30">
        <v>0</v>
      </c>
      <c r="P104" s="61">
        <v>0</v>
      </c>
      <c r="R104" s="68">
        <f t="shared" si="5"/>
        <v>0</v>
      </c>
    </row>
    <row r="105" spans="2:18" ht="17.45" customHeight="1">
      <c r="B105" s="90">
        <v>88</v>
      </c>
      <c r="C105" s="24" t="s">
        <v>145</v>
      </c>
      <c r="D105" s="24" t="s">
        <v>20</v>
      </c>
      <c r="E105" s="32" t="s">
        <v>204</v>
      </c>
      <c r="F105" s="79">
        <v>109655904</v>
      </c>
      <c r="G105" s="27">
        <v>27811280</v>
      </c>
      <c r="H105" s="28">
        <v>0</v>
      </c>
      <c r="I105" s="84">
        <f>+F105+G105+G106+G107+G108+G109+G110+G111+H105+H106+H107+H108+H109+H110+H111</f>
        <v>219311808</v>
      </c>
      <c r="J105" s="27">
        <v>27811280</v>
      </c>
      <c r="K105" s="27">
        <v>12637413.960000001</v>
      </c>
      <c r="L105" s="29">
        <f t="shared" si="4"/>
        <v>0.45439886118150624</v>
      </c>
      <c r="M105" s="26">
        <v>15173866.039999999</v>
      </c>
      <c r="N105" s="30">
        <v>0</v>
      </c>
      <c r="P105" s="61">
        <v>0</v>
      </c>
      <c r="R105" s="68">
        <f t="shared" si="5"/>
        <v>0</v>
      </c>
    </row>
    <row r="106" spans="2:18" ht="18.600000000000001" customHeight="1">
      <c r="B106" s="90"/>
      <c r="C106" s="24" t="s">
        <v>145</v>
      </c>
      <c r="D106" s="24" t="s">
        <v>20</v>
      </c>
      <c r="E106" s="32" t="s">
        <v>204</v>
      </c>
      <c r="F106" s="83"/>
      <c r="G106" s="27">
        <v>17481376</v>
      </c>
      <c r="H106" s="28">
        <v>0</v>
      </c>
      <c r="I106" s="85"/>
      <c r="J106" s="27">
        <v>17481376</v>
      </c>
      <c r="K106" s="27">
        <v>8904546</v>
      </c>
      <c r="L106" s="29">
        <f t="shared" si="4"/>
        <v>0.50937328960832373</v>
      </c>
      <c r="M106" s="26">
        <v>8576830</v>
      </c>
      <c r="N106" s="30">
        <v>0</v>
      </c>
      <c r="P106" s="61">
        <v>0</v>
      </c>
      <c r="R106" s="68">
        <f t="shared" si="5"/>
        <v>0</v>
      </c>
    </row>
    <row r="107" spans="2:18" ht="17.45" customHeight="1">
      <c r="B107" s="90"/>
      <c r="C107" s="24" t="s">
        <v>145</v>
      </c>
      <c r="D107" s="24" t="s">
        <v>20</v>
      </c>
      <c r="E107" s="32" t="s">
        <v>204</v>
      </c>
      <c r="F107" s="83"/>
      <c r="G107" s="27">
        <v>32578928</v>
      </c>
      <c r="H107" s="28">
        <v>0</v>
      </c>
      <c r="I107" s="85"/>
      <c r="J107" s="27">
        <v>32578928</v>
      </c>
      <c r="K107" s="27">
        <v>6757658.9999999991</v>
      </c>
      <c r="L107" s="29">
        <f t="shared" si="4"/>
        <v>0.20742422832328919</v>
      </c>
      <c r="M107" s="26">
        <v>25821269</v>
      </c>
      <c r="N107" s="30">
        <v>0</v>
      </c>
      <c r="P107" s="61">
        <v>0</v>
      </c>
      <c r="R107" s="68">
        <f t="shared" si="5"/>
        <v>0</v>
      </c>
    </row>
    <row r="108" spans="2:18" ht="16.149999999999999" customHeight="1">
      <c r="B108" s="90"/>
      <c r="C108" s="24" t="s">
        <v>145</v>
      </c>
      <c r="D108" s="24" t="s">
        <v>20</v>
      </c>
      <c r="E108" s="32" t="s">
        <v>204</v>
      </c>
      <c r="F108" s="83"/>
      <c r="G108" s="27">
        <v>4767648</v>
      </c>
      <c r="H108" s="28">
        <v>0</v>
      </c>
      <c r="I108" s="85"/>
      <c r="J108" s="27">
        <v>4767648</v>
      </c>
      <c r="K108" s="27">
        <v>3841070.5</v>
      </c>
      <c r="L108" s="29">
        <f t="shared" si="4"/>
        <v>0.80565312288155499</v>
      </c>
      <c r="M108" s="26">
        <v>926577.5</v>
      </c>
      <c r="N108" s="30">
        <v>0</v>
      </c>
      <c r="P108" s="61">
        <v>0</v>
      </c>
      <c r="R108" s="68">
        <f t="shared" si="5"/>
        <v>0</v>
      </c>
    </row>
    <row r="109" spans="2:18" ht="18" customHeight="1">
      <c r="B109" s="90"/>
      <c r="C109" s="24" t="s">
        <v>145</v>
      </c>
      <c r="D109" s="24" t="s">
        <v>20</v>
      </c>
      <c r="E109" s="32" t="s">
        <v>204</v>
      </c>
      <c r="F109" s="83"/>
      <c r="G109" s="27">
        <v>4767648</v>
      </c>
      <c r="H109" s="28">
        <v>0</v>
      </c>
      <c r="I109" s="85"/>
      <c r="J109" s="27">
        <v>4767648</v>
      </c>
      <c r="K109" s="27">
        <v>1616425</v>
      </c>
      <c r="L109" s="29">
        <f t="shared" si="4"/>
        <v>0.33904034022645968</v>
      </c>
      <c r="M109" s="26">
        <v>3151223</v>
      </c>
      <c r="N109" s="30">
        <v>0</v>
      </c>
      <c r="P109" s="61">
        <v>0</v>
      </c>
      <c r="R109" s="68">
        <f t="shared" si="5"/>
        <v>0</v>
      </c>
    </row>
    <row r="110" spans="2:18" ht="19.149999999999999" customHeight="1">
      <c r="B110" s="90"/>
      <c r="C110" s="24" t="s">
        <v>145</v>
      </c>
      <c r="D110" s="24" t="s">
        <v>20</v>
      </c>
      <c r="E110" s="32" t="s">
        <v>204</v>
      </c>
      <c r="F110" s="83"/>
      <c r="G110" s="27">
        <v>7151472</v>
      </c>
      <c r="H110" s="28">
        <v>0</v>
      </c>
      <c r="I110" s="85"/>
      <c r="J110" s="27">
        <v>7151472</v>
      </c>
      <c r="K110" s="27">
        <v>5066793.5</v>
      </c>
      <c r="L110" s="29">
        <f t="shared" si="4"/>
        <v>0.70849658643703006</v>
      </c>
      <c r="M110" s="26">
        <v>2084678.5</v>
      </c>
      <c r="N110" s="30">
        <v>0</v>
      </c>
      <c r="P110" s="61">
        <v>0</v>
      </c>
      <c r="R110" s="68">
        <f t="shared" si="5"/>
        <v>0</v>
      </c>
    </row>
    <row r="111" spans="2:18" ht="17.45" customHeight="1">
      <c r="B111" s="90"/>
      <c r="C111" s="24" t="s">
        <v>145</v>
      </c>
      <c r="D111" s="24" t="s">
        <v>20</v>
      </c>
      <c r="E111" s="32" t="s">
        <v>204</v>
      </c>
      <c r="F111" s="80"/>
      <c r="G111" s="27">
        <v>15097552</v>
      </c>
      <c r="H111" s="28">
        <v>0</v>
      </c>
      <c r="I111" s="86"/>
      <c r="J111" s="27">
        <v>15097552</v>
      </c>
      <c r="K111" s="27">
        <v>10876287.567982592</v>
      </c>
      <c r="L111" s="29">
        <f t="shared" si="4"/>
        <v>0.72040073569427621</v>
      </c>
      <c r="M111" s="26">
        <v>4221264.4300000006</v>
      </c>
      <c r="N111" s="30">
        <v>0</v>
      </c>
      <c r="P111" s="61">
        <v>0</v>
      </c>
      <c r="R111" s="68">
        <f t="shared" si="5"/>
        <v>0</v>
      </c>
    </row>
    <row r="112" spans="2:18" ht="15.6" customHeight="1">
      <c r="B112" s="90">
        <v>89</v>
      </c>
      <c r="C112" s="24" t="s">
        <v>145</v>
      </c>
      <c r="D112" s="24" t="s">
        <v>20</v>
      </c>
      <c r="E112" s="25" t="s">
        <v>205</v>
      </c>
      <c r="F112" s="79">
        <v>145494421</v>
      </c>
      <c r="G112" s="27">
        <v>124040005</v>
      </c>
      <c r="H112" s="28">
        <v>0</v>
      </c>
      <c r="I112" s="79">
        <f>+F112+G112+G113+H112+H113</f>
        <v>290988842</v>
      </c>
      <c r="J112" s="27">
        <v>124040005</v>
      </c>
      <c r="K112" s="27">
        <v>96093619</v>
      </c>
      <c r="L112" s="29">
        <f t="shared" si="4"/>
        <v>0.77469860630850507</v>
      </c>
      <c r="M112" s="26">
        <v>27946386</v>
      </c>
      <c r="N112" s="30">
        <v>0</v>
      </c>
      <c r="P112" s="61">
        <v>0</v>
      </c>
      <c r="R112" s="68">
        <f t="shared" si="5"/>
        <v>0</v>
      </c>
    </row>
    <row r="113" spans="2:18" ht="15" customHeight="1">
      <c r="B113" s="90"/>
      <c r="C113" s="24" t="s">
        <v>145</v>
      </c>
      <c r="D113" s="24" t="s">
        <v>20</v>
      </c>
      <c r="E113" s="25" t="s">
        <v>205</v>
      </c>
      <c r="F113" s="80"/>
      <c r="G113" s="27">
        <v>21454416</v>
      </c>
      <c r="H113" s="28">
        <v>0</v>
      </c>
      <c r="I113" s="80"/>
      <c r="J113" s="27">
        <v>21454416</v>
      </c>
      <c r="K113" s="27">
        <v>14717538</v>
      </c>
      <c r="L113" s="29">
        <f t="shared" si="4"/>
        <v>0.68599107987838026</v>
      </c>
      <c r="M113" s="26">
        <v>6736878</v>
      </c>
      <c r="N113" s="30">
        <v>0</v>
      </c>
      <c r="P113" s="61">
        <v>0</v>
      </c>
      <c r="R113" s="68">
        <f t="shared" si="5"/>
        <v>0</v>
      </c>
    </row>
    <row r="114" spans="2:18" ht="16.899999999999999" customHeight="1">
      <c r="B114" s="51">
        <v>90</v>
      </c>
      <c r="C114" s="24" t="s">
        <v>206</v>
      </c>
      <c r="D114" s="24" t="s">
        <v>20</v>
      </c>
      <c r="E114" s="33" t="s">
        <v>207</v>
      </c>
      <c r="F114" s="34">
        <v>50000000</v>
      </c>
      <c r="G114" s="36">
        <v>50000000</v>
      </c>
      <c r="H114" s="28">
        <v>0</v>
      </c>
      <c r="I114" s="26">
        <f>+F114+G114+H114</f>
        <v>100000000</v>
      </c>
      <c r="J114" s="27">
        <v>50000000</v>
      </c>
      <c r="K114" s="27">
        <v>29298860.539999999</v>
      </c>
      <c r="L114" s="29">
        <f t="shared" si="4"/>
        <v>0.58597721079999998</v>
      </c>
      <c r="M114" s="26">
        <v>20701139.460000001</v>
      </c>
      <c r="N114" s="30">
        <v>0</v>
      </c>
      <c r="P114" s="61">
        <v>0</v>
      </c>
      <c r="R114" s="68">
        <f t="shared" si="5"/>
        <v>0</v>
      </c>
    </row>
    <row r="115" spans="2:18" ht="50.45">
      <c r="B115" s="51">
        <v>91</v>
      </c>
      <c r="C115" s="24" t="s">
        <v>208</v>
      </c>
      <c r="D115" s="24" t="s">
        <v>20</v>
      </c>
      <c r="E115" s="33" t="s">
        <v>209</v>
      </c>
      <c r="F115" s="34">
        <v>182763436</v>
      </c>
      <c r="G115" s="36">
        <v>49844380</v>
      </c>
      <c r="H115" s="28">
        <v>0</v>
      </c>
      <c r="I115" s="26">
        <f>+F115+G115+H115</f>
        <v>232607816</v>
      </c>
      <c r="J115" s="27">
        <v>49844380</v>
      </c>
      <c r="K115" s="27">
        <v>49542277.649999999</v>
      </c>
      <c r="L115" s="29">
        <f t="shared" si="4"/>
        <v>0.99393908902066785</v>
      </c>
      <c r="M115" s="26">
        <v>302102.35000000149</v>
      </c>
      <c r="N115" s="30">
        <v>0</v>
      </c>
      <c r="P115" s="61">
        <v>0</v>
      </c>
      <c r="R115" s="68">
        <f t="shared" si="5"/>
        <v>0</v>
      </c>
    </row>
    <row r="116" spans="2:18" ht="23.45" customHeight="1">
      <c r="B116" s="51">
        <v>92</v>
      </c>
      <c r="C116" s="24" t="s">
        <v>210</v>
      </c>
      <c r="D116" s="24" t="s">
        <v>19</v>
      </c>
      <c r="E116" s="25" t="s">
        <v>211</v>
      </c>
      <c r="F116" s="26">
        <v>3750000000</v>
      </c>
      <c r="G116" s="27">
        <v>250000000</v>
      </c>
      <c r="H116" s="28">
        <v>0</v>
      </c>
      <c r="I116" s="26">
        <f>+F116+G116+H116</f>
        <v>4000000000</v>
      </c>
      <c r="J116" s="27">
        <v>250000000</v>
      </c>
      <c r="K116" s="27">
        <v>249999999</v>
      </c>
      <c r="L116" s="29">
        <f t="shared" si="4"/>
        <v>0.999999996</v>
      </c>
      <c r="M116" s="26">
        <v>1</v>
      </c>
      <c r="N116" s="30">
        <v>0</v>
      </c>
      <c r="P116" s="61">
        <v>0</v>
      </c>
      <c r="R116" s="68">
        <f t="shared" si="5"/>
        <v>0</v>
      </c>
    </row>
    <row r="117" spans="2:18" ht="32.450000000000003" customHeight="1">
      <c r="B117" s="51">
        <v>93</v>
      </c>
      <c r="C117" s="24" t="s">
        <v>212</v>
      </c>
      <c r="D117" s="24" t="s">
        <v>19</v>
      </c>
      <c r="E117" s="25" t="s">
        <v>213</v>
      </c>
      <c r="F117" s="26">
        <v>30250000000</v>
      </c>
      <c r="G117" s="27">
        <v>26537402027.639999</v>
      </c>
      <c r="H117" s="26">
        <v>20052597972.360001</v>
      </c>
      <c r="I117" s="26">
        <f t="shared" si="6"/>
        <v>76840000000</v>
      </c>
      <c r="J117" s="27">
        <v>26537402027.639999</v>
      </c>
      <c r="K117" s="27">
        <v>26537401974.459999</v>
      </c>
      <c r="L117" s="29">
        <f t="shared" si="4"/>
        <v>0.99999999799603589</v>
      </c>
      <c r="M117" s="26">
        <f>16+37</f>
        <v>53</v>
      </c>
      <c r="N117" s="30">
        <v>0</v>
      </c>
      <c r="P117" s="61">
        <v>0</v>
      </c>
      <c r="R117" s="68">
        <f t="shared" si="5"/>
        <v>0</v>
      </c>
    </row>
    <row r="118" spans="2:18" ht="34.9" customHeight="1">
      <c r="B118" s="51">
        <v>94</v>
      </c>
      <c r="C118" s="24" t="s">
        <v>214</v>
      </c>
      <c r="D118" s="24" t="s">
        <v>19</v>
      </c>
      <c r="E118" s="25" t="s">
        <v>215</v>
      </c>
      <c r="F118" s="26">
        <v>2833987542</v>
      </c>
      <c r="G118" s="27">
        <v>9213496425</v>
      </c>
      <c r="H118" s="26">
        <v>1015300000</v>
      </c>
      <c r="I118" s="26">
        <f t="shared" si="6"/>
        <v>13062783967</v>
      </c>
      <c r="J118" s="27">
        <v>9213496425</v>
      </c>
      <c r="K118" s="27">
        <v>9195715552.6343193</v>
      </c>
      <c r="L118" s="29">
        <f t="shared" si="4"/>
        <v>0.99807012761003155</v>
      </c>
      <c r="M118" s="26">
        <v>17780872.399999999</v>
      </c>
      <c r="N118" s="30">
        <v>0</v>
      </c>
      <c r="P118" s="61">
        <v>0</v>
      </c>
      <c r="R118" s="68">
        <f t="shared" si="5"/>
        <v>0</v>
      </c>
    </row>
    <row r="119" spans="2:18" ht="31.15" customHeight="1">
      <c r="B119" s="51">
        <v>95</v>
      </c>
      <c r="C119" s="24" t="s">
        <v>216</v>
      </c>
      <c r="D119" s="24" t="s">
        <v>19</v>
      </c>
      <c r="E119" s="25" t="s">
        <v>217</v>
      </c>
      <c r="F119" s="26">
        <v>9526873131</v>
      </c>
      <c r="G119" s="27">
        <v>292960150</v>
      </c>
      <c r="H119" s="26">
        <f>7323600186+6827814522.31+388665465.44</f>
        <v>14540080173.750002</v>
      </c>
      <c r="I119" s="26">
        <f t="shared" si="6"/>
        <v>24359913454.75</v>
      </c>
      <c r="J119" s="27">
        <v>292960150</v>
      </c>
      <c r="K119" s="27">
        <v>292956946.43000001</v>
      </c>
      <c r="L119" s="29">
        <f t="shared" si="4"/>
        <v>0.999989064826735</v>
      </c>
      <c r="M119" s="26"/>
      <c r="N119" s="30">
        <f t="shared" ref="N119:N125" si="8">+J119-K119-M119</f>
        <v>3203.5699999928474</v>
      </c>
      <c r="P119" s="61">
        <v>205727.28</v>
      </c>
      <c r="R119" s="68">
        <f t="shared" si="5"/>
        <v>205727.28</v>
      </c>
    </row>
    <row r="120" spans="2:18" ht="25.15">
      <c r="B120" s="51">
        <v>96</v>
      </c>
      <c r="C120" s="24" t="s">
        <v>218</v>
      </c>
      <c r="D120" s="24" t="s">
        <v>19</v>
      </c>
      <c r="E120" s="25" t="s">
        <v>219</v>
      </c>
      <c r="F120" s="26">
        <f>737717000+508982899</f>
        <v>1246699899</v>
      </c>
      <c r="G120" s="27">
        <v>400000000</v>
      </c>
      <c r="H120" s="28">
        <v>0</v>
      </c>
      <c r="I120" s="26">
        <f t="shared" si="6"/>
        <v>1646699899</v>
      </c>
      <c r="J120" s="27">
        <v>400000000</v>
      </c>
      <c r="K120" s="27">
        <v>392018537.88999999</v>
      </c>
      <c r="L120" s="29">
        <f t="shared" si="4"/>
        <v>0.98004634472499996</v>
      </c>
      <c r="M120" s="26"/>
      <c r="N120" s="30">
        <f t="shared" si="8"/>
        <v>7981462.1100000143</v>
      </c>
      <c r="P120" s="61">
        <v>327991.02</v>
      </c>
      <c r="R120" s="68">
        <f t="shared" si="5"/>
        <v>327991.02</v>
      </c>
    </row>
    <row r="121" spans="2:18" ht="21.6" customHeight="1">
      <c r="B121" s="51">
        <v>97</v>
      </c>
      <c r="C121" s="24" t="s">
        <v>220</v>
      </c>
      <c r="D121" s="24" t="s">
        <v>19</v>
      </c>
      <c r="E121" s="25" t="s">
        <v>221</v>
      </c>
      <c r="F121" s="26">
        <f>12195682978+9559782779</f>
        <v>21755465757</v>
      </c>
      <c r="G121" s="27">
        <v>5575000000</v>
      </c>
      <c r="H121" s="28">
        <v>0</v>
      </c>
      <c r="I121" s="26">
        <f t="shared" si="6"/>
        <v>27330465757</v>
      </c>
      <c r="J121" s="27">
        <v>5575000000</v>
      </c>
      <c r="K121" s="27">
        <v>5574455065.3786421</v>
      </c>
      <c r="L121" s="29">
        <f t="shared" si="4"/>
        <v>0.9999022538795771</v>
      </c>
      <c r="M121" s="26"/>
      <c r="N121" s="30">
        <f t="shared" si="8"/>
        <v>544934.62135791779</v>
      </c>
      <c r="P121" s="61">
        <v>896197</v>
      </c>
      <c r="R121" s="68">
        <f t="shared" si="5"/>
        <v>896197</v>
      </c>
    </row>
    <row r="122" spans="2:18" ht="24.75" customHeight="1">
      <c r="B122" s="51">
        <v>98</v>
      </c>
      <c r="C122" s="24" t="s">
        <v>222</v>
      </c>
      <c r="D122" s="24" t="s">
        <v>19</v>
      </c>
      <c r="E122" s="25" t="s">
        <v>223</v>
      </c>
      <c r="F122" s="26">
        <v>132906000</v>
      </c>
      <c r="G122" s="27">
        <v>39176736</v>
      </c>
      <c r="H122" s="28">
        <v>0</v>
      </c>
      <c r="I122" s="26">
        <f t="shared" si="6"/>
        <v>172082736</v>
      </c>
      <c r="J122" s="27">
        <v>39176736</v>
      </c>
      <c r="K122" s="27">
        <v>34604253.549999997</v>
      </c>
      <c r="L122" s="29">
        <f t="shared" si="4"/>
        <v>0.88328577322010693</v>
      </c>
      <c r="M122" s="26"/>
      <c r="N122" s="30">
        <f t="shared" si="8"/>
        <v>4572482.450000003</v>
      </c>
      <c r="P122" s="61">
        <v>61557.35</v>
      </c>
      <c r="R122" s="68">
        <f t="shared" si="5"/>
        <v>61557.35</v>
      </c>
    </row>
    <row r="123" spans="2:18" ht="37.5" customHeight="1">
      <c r="B123" s="51">
        <v>99</v>
      </c>
      <c r="C123" s="24" t="s">
        <v>224</v>
      </c>
      <c r="D123" s="24" t="s">
        <v>19</v>
      </c>
      <c r="E123" s="25" t="s">
        <v>225</v>
      </c>
      <c r="F123" s="26">
        <v>391250188</v>
      </c>
      <c r="G123" s="27">
        <v>97812547</v>
      </c>
      <c r="H123" s="28">
        <v>0</v>
      </c>
      <c r="I123" s="26">
        <f t="shared" si="6"/>
        <v>489062735</v>
      </c>
      <c r="J123" s="27">
        <v>97812547</v>
      </c>
      <c r="K123" s="27">
        <v>88688641.183266938</v>
      </c>
      <c r="L123" s="29">
        <f t="shared" si="4"/>
        <v>0.9067204965357557</v>
      </c>
      <c r="M123" s="26">
        <v>9123905.816733066</v>
      </c>
      <c r="N123" s="30">
        <v>0</v>
      </c>
      <c r="P123" s="61">
        <v>0</v>
      </c>
      <c r="R123" s="68">
        <f t="shared" si="5"/>
        <v>0</v>
      </c>
    </row>
    <row r="124" spans="2:18" ht="18" customHeight="1">
      <c r="B124" s="51">
        <v>100</v>
      </c>
      <c r="C124" s="24" t="s">
        <v>226</v>
      </c>
      <c r="D124" s="24" t="s">
        <v>19</v>
      </c>
      <c r="E124" s="25" t="s">
        <v>227</v>
      </c>
      <c r="F124" s="26">
        <f>2000000000+3000000000</f>
        <v>5000000000</v>
      </c>
      <c r="G124" s="27">
        <f>10674693600+3000000000</f>
        <v>13674693600</v>
      </c>
      <c r="H124" s="26">
        <v>960920000</v>
      </c>
      <c r="I124" s="26">
        <f t="shared" si="6"/>
        <v>19635613600</v>
      </c>
      <c r="J124" s="27">
        <v>13674693600</v>
      </c>
      <c r="K124" s="27">
        <v>13655714343.93676</v>
      </c>
      <c r="L124" s="29">
        <f t="shared" si="4"/>
        <v>0.99861208911743071</v>
      </c>
      <c r="M124" s="28"/>
      <c r="N124" s="30">
        <f t="shared" si="8"/>
        <v>18979256.063240051</v>
      </c>
      <c r="P124" s="61">
        <v>2231813.4299999997</v>
      </c>
      <c r="R124" s="68">
        <f t="shared" si="5"/>
        <v>2231813.4299999997</v>
      </c>
    </row>
    <row r="125" spans="2:18" ht="23.45" customHeight="1">
      <c r="B125" s="51">
        <v>101</v>
      </c>
      <c r="C125" s="24" t="s">
        <v>228</v>
      </c>
      <c r="D125" s="24" t="s">
        <v>19</v>
      </c>
      <c r="E125" s="25" t="s">
        <v>229</v>
      </c>
      <c r="F125" s="26">
        <f>4696941070+2313908469</f>
        <v>7010849539</v>
      </c>
      <c r="G125" s="27">
        <v>1200000000</v>
      </c>
      <c r="H125" s="28">
        <v>0</v>
      </c>
      <c r="I125" s="26">
        <f t="shared" si="6"/>
        <v>8210849539</v>
      </c>
      <c r="J125" s="27">
        <v>1200000000</v>
      </c>
      <c r="K125" s="27">
        <v>1198229857.53332</v>
      </c>
      <c r="L125" s="29">
        <f t="shared" si="4"/>
        <v>0.99852488127776662</v>
      </c>
      <c r="M125" s="28"/>
      <c r="N125" s="30">
        <f t="shared" si="8"/>
        <v>1770142.4666800499</v>
      </c>
      <c r="P125" s="61">
        <v>13764.759999999998</v>
      </c>
      <c r="R125" s="68">
        <f t="shared" si="5"/>
        <v>13764.759999999998</v>
      </c>
    </row>
    <row r="126" spans="2:18" ht="30" customHeight="1">
      <c r="B126" s="51">
        <v>102</v>
      </c>
      <c r="C126" s="24" t="s">
        <v>230</v>
      </c>
      <c r="D126" s="24" t="s">
        <v>19</v>
      </c>
      <c r="E126" s="25" t="s">
        <v>231</v>
      </c>
      <c r="F126" s="26">
        <v>737717000</v>
      </c>
      <c r="G126" s="27">
        <v>235722512</v>
      </c>
      <c r="H126" s="28">
        <v>0</v>
      </c>
      <c r="I126" s="26">
        <f t="shared" si="6"/>
        <v>973439512</v>
      </c>
      <c r="J126" s="27">
        <v>235722512</v>
      </c>
      <c r="K126" s="27">
        <v>216736653.83000001</v>
      </c>
      <c r="L126" s="29">
        <f t="shared" si="4"/>
        <v>0.91945674594711602</v>
      </c>
      <c r="M126" s="28"/>
      <c r="N126" s="30">
        <f>+J126-K126-M126</f>
        <v>18985858.169999987</v>
      </c>
      <c r="P126" s="61">
        <v>436437.06</v>
      </c>
      <c r="R126" s="68">
        <f t="shared" si="5"/>
        <v>436437.06</v>
      </c>
    </row>
    <row r="127" spans="2:18" ht="30" customHeight="1">
      <c r="B127" s="51">
        <v>103</v>
      </c>
      <c r="C127" s="24" t="s">
        <v>232</v>
      </c>
      <c r="D127" s="24" t="s">
        <v>19</v>
      </c>
      <c r="E127" s="25" t="s">
        <v>233</v>
      </c>
      <c r="F127" s="26">
        <v>69368193</v>
      </c>
      <c r="G127" s="27">
        <v>20000000</v>
      </c>
      <c r="H127" s="28">
        <v>0</v>
      </c>
      <c r="I127" s="26">
        <f>+F127+G127+H127</f>
        <v>89368193</v>
      </c>
      <c r="J127" s="27">
        <v>20000000</v>
      </c>
      <c r="K127" s="27">
        <v>19999999.995999999</v>
      </c>
      <c r="L127" s="29">
        <f t="shared" si="4"/>
        <v>0.99999999979999998</v>
      </c>
      <c r="M127" s="28"/>
      <c r="N127" s="30">
        <v>0</v>
      </c>
      <c r="P127" s="61">
        <v>16414.650000000001</v>
      </c>
      <c r="R127" s="68">
        <f t="shared" si="5"/>
        <v>16414.650000000001</v>
      </c>
    </row>
    <row r="128" spans="2:18" ht="28.5" customHeight="1">
      <c r="B128" s="51">
        <v>104</v>
      </c>
      <c r="C128" s="24" t="s">
        <v>234</v>
      </c>
      <c r="D128" s="24" t="s">
        <v>19</v>
      </c>
      <c r="E128" s="25" t="s">
        <v>235</v>
      </c>
      <c r="F128" s="26">
        <v>7998391072</v>
      </c>
      <c r="G128" s="27">
        <v>450272000</v>
      </c>
      <c r="H128" s="28">
        <v>0</v>
      </c>
      <c r="I128" s="34">
        <f t="shared" ref="I128:I129" si="9">+F128+G128+H128</f>
        <v>8448663072</v>
      </c>
      <c r="J128" s="27">
        <v>450272000</v>
      </c>
      <c r="K128" s="27">
        <v>436003714.58999997</v>
      </c>
      <c r="L128" s="29">
        <f t="shared" si="4"/>
        <v>0.96831185281341048</v>
      </c>
      <c r="M128" s="26">
        <v>14268285.41</v>
      </c>
      <c r="N128" s="30">
        <v>0</v>
      </c>
      <c r="P128" s="61">
        <v>0</v>
      </c>
      <c r="R128" s="68">
        <f t="shared" si="5"/>
        <v>0</v>
      </c>
    </row>
    <row r="129" spans="2:18" ht="18" customHeight="1">
      <c r="B129" s="51">
        <v>105</v>
      </c>
      <c r="C129" s="24" t="s">
        <v>145</v>
      </c>
      <c r="D129" s="24" t="s">
        <v>19</v>
      </c>
      <c r="E129" s="25" t="s">
        <v>236</v>
      </c>
      <c r="F129" s="26">
        <v>79000000</v>
      </c>
      <c r="G129" s="27">
        <v>79000000</v>
      </c>
      <c r="H129" s="28">
        <v>0</v>
      </c>
      <c r="I129" s="34">
        <f t="shared" si="9"/>
        <v>158000000</v>
      </c>
      <c r="J129" s="27">
        <v>79000000</v>
      </c>
      <c r="K129" s="27">
        <v>10516524.440000001</v>
      </c>
      <c r="L129" s="29">
        <f t="shared" si="4"/>
        <v>0.13312056253164559</v>
      </c>
      <c r="M129" s="26">
        <v>68483475.560000002</v>
      </c>
      <c r="N129" s="30">
        <v>0</v>
      </c>
      <c r="P129" s="61">
        <v>0</v>
      </c>
      <c r="R129" s="68">
        <f t="shared" si="5"/>
        <v>0</v>
      </c>
    </row>
    <row r="130" spans="2:18" ht="22.9" customHeight="1">
      <c r="B130" s="51">
        <v>106</v>
      </c>
      <c r="C130" s="24" t="s">
        <v>237</v>
      </c>
      <c r="D130" s="24" t="s">
        <v>19</v>
      </c>
      <c r="E130" s="25" t="s">
        <v>238</v>
      </c>
      <c r="F130" s="26">
        <v>82800000</v>
      </c>
      <c r="G130" s="27">
        <v>9732160</v>
      </c>
      <c r="H130" s="28">
        <v>0</v>
      </c>
      <c r="I130" s="34">
        <f>+F130+G130+H130</f>
        <v>92532160</v>
      </c>
      <c r="J130" s="27">
        <v>9732160</v>
      </c>
      <c r="K130" s="27">
        <v>272160</v>
      </c>
      <c r="L130" s="29">
        <f t="shared" si="4"/>
        <v>2.7965014960707593E-2</v>
      </c>
      <c r="M130" s="26">
        <v>9460000</v>
      </c>
      <c r="N130" s="30">
        <v>0</v>
      </c>
      <c r="P130" s="61">
        <v>0</v>
      </c>
      <c r="R130" s="68">
        <f t="shared" si="5"/>
        <v>0</v>
      </c>
    </row>
    <row r="131" spans="2:18" ht="17.25" customHeight="1">
      <c r="B131" s="51">
        <v>107</v>
      </c>
      <c r="C131" s="24" t="s">
        <v>145</v>
      </c>
      <c r="D131" s="24" t="s">
        <v>19</v>
      </c>
      <c r="E131" s="25" t="s">
        <v>239</v>
      </c>
      <c r="F131" s="26">
        <v>73959864</v>
      </c>
      <c r="G131" s="27">
        <v>73959864</v>
      </c>
      <c r="H131" s="28">
        <v>0</v>
      </c>
      <c r="I131" s="26">
        <f t="shared" ref="I131" si="10">+F131+G131+H131</f>
        <v>147919728</v>
      </c>
      <c r="J131" s="27">
        <f>71105864+2854000</f>
        <v>73959864</v>
      </c>
      <c r="K131" s="27">
        <v>39045753</v>
      </c>
      <c r="L131" s="29">
        <f t="shared" si="4"/>
        <v>0.52793164952277361</v>
      </c>
      <c r="M131" s="26">
        <v>34914111</v>
      </c>
      <c r="N131" s="30">
        <v>0</v>
      </c>
      <c r="P131" s="61">
        <v>0</v>
      </c>
      <c r="R131" s="68">
        <f t="shared" si="5"/>
        <v>0</v>
      </c>
    </row>
    <row r="132" spans="2:18" ht="27" customHeight="1">
      <c r="B132" s="90">
        <v>108</v>
      </c>
      <c r="C132" s="24" t="s">
        <v>240</v>
      </c>
      <c r="D132" s="24" t="s">
        <v>19</v>
      </c>
      <c r="E132" s="32" t="s">
        <v>241</v>
      </c>
      <c r="F132" s="79">
        <v>250348333.34</v>
      </c>
      <c r="G132" s="36">
        <v>7129392.6200000001</v>
      </c>
      <c r="H132" s="28">
        <v>0</v>
      </c>
      <c r="I132" s="79">
        <f>+F132+G132+G133+G134+G135+G136+G137+G138+G139+G140+H132+H133+H134+H135+H136+H137+H138+H139+H140</f>
        <v>314611112.57000005</v>
      </c>
      <c r="J132" s="27">
        <v>7129392.6200000001</v>
      </c>
      <c r="K132" s="27">
        <v>7129392.9000000004</v>
      </c>
      <c r="L132" s="29">
        <f t="shared" si="4"/>
        <v>1.0000000392740329</v>
      </c>
      <c r="M132" s="26"/>
      <c r="N132" s="30">
        <v>0</v>
      </c>
      <c r="P132" s="61">
        <v>0</v>
      </c>
      <c r="R132" s="68">
        <f t="shared" si="5"/>
        <v>0</v>
      </c>
    </row>
    <row r="133" spans="2:18" ht="25.15">
      <c r="B133" s="90"/>
      <c r="C133" s="24" t="s">
        <v>240</v>
      </c>
      <c r="D133" s="24" t="s">
        <v>19</v>
      </c>
      <c r="E133" s="32" t="s">
        <v>241</v>
      </c>
      <c r="F133" s="83"/>
      <c r="G133" s="36">
        <v>7129392.6200000001</v>
      </c>
      <c r="H133" s="28">
        <v>0</v>
      </c>
      <c r="I133" s="83"/>
      <c r="J133" s="27">
        <v>7129392.6200000001</v>
      </c>
      <c r="K133" s="27">
        <v>7129392.9000000004</v>
      </c>
      <c r="L133" s="29">
        <f t="shared" si="4"/>
        <v>1.0000000392740329</v>
      </c>
      <c r="M133" s="26"/>
      <c r="N133" s="30">
        <v>0</v>
      </c>
      <c r="P133" s="61">
        <v>0</v>
      </c>
      <c r="R133" s="68">
        <f t="shared" si="5"/>
        <v>0</v>
      </c>
    </row>
    <row r="134" spans="2:18" ht="25.15">
      <c r="B134" s="90"/>
      <c r="C134" s="24" t="s">
        <v>240</v>
      </c>
      <c r="D134" s="24" t="s">
        <v>19</v>
      </c>
      <c r="E134" s="32" t="s">
        <v>241</v>
      </c>
      <c r="F134" s="83"/>
      <c r="G134" s="36">
        <v>7129392.6200000001</v>
      </c>
      <c r="H134" s="28">
        <v>0</v>
      </c>
      <c r="I134" s="83"/>
      <c r="J134" s="27">
        <v>7129392.6200000001</v>
      </c>
      <c r="K134" s="27">
        <v>7129392.9000000004</v>
      </c>
      <c r="L134" s="29">
        <f t="shared" ref="L134:L185" si="11">+K134/G134</f>
        <v>1.0000000392740329</v>
      </c>
      <c r="M134" s="26"/>
      <c r="N134" s="30">
        <v>0</v>
      </c>
      <c r="P134" s="61">
        <v>0</v>
      </c>
      <c r="R134" s="68">
        <f t="shared" ref="R134:R185" si="12">+P134</f>
        <v>0</v>
      </c>
    </row>
    <row r="135" spans="2:18" ht="25.15">
      <c r="B135" s="90"/>
      <c r="C135" s="24" t="s">
        <v>240</v>
      </c>
      <c r="D135" s="24" t="s">
        <v>19</v>
      </c>
      <c r="E135" s="32" t="s">
        <v>241</v>
      </c>
      <c r="F135" s="83"/>
      <c r="G135" s="36">
        <v>7129392.6200000001</v>
      </c>
      <c r="H135" s="28">
        <v>0</v>
      </c>
      <c r="I135" s="83"/>
      <c r="J135" s="27">
        <v>7129392.6200000001</v>
      </c>
      <c r="K135" s="27">
        <v>7129392.9000000004</v>
      </c>
      <c r="L135" s="29">
        <f t="shared" si="11"/>
        <v>1.0000000392740329</v>
      </c>
      <c r="M135" s="26"/>
      <c r="N135" s="30">
        <v>0</v>
      </c>
      <c r="P135" s="61">
        <v>0</v>
      </c>
      <c r="R135" s="68">
        <f t="shared" si="12"/>
        <v>0</v>
      </c>
    </row>
    <row r="136" spans="2:18" ht="25.15">
      <c r="B136" s="90"/>
      <c r="C136" s="24" t="s">
        <v>240</v>
      </c>
      <c r="D136" s="24" t="s">
        <v>19</v>
      </c>
      <c r="E136" s="32" t="s">
        <v>241</v>
      </c>
      <c r="F136" s="83"/>
      <c r="G136" s="36">
        <v>7162141.1699999999</v>
      </c>
      <c r="H136" s="28">
        <v>0</v>
      </c>
      <c r="I136" s="83"/>
      <c r="J136" s="27">
        <v>7162141</v>
      </c>
      <c r="K136" s="27">
        <v>7162140.9000000004</v>
      </c>
      <c r="L136" s="29">
        <f t="shared" si="11"/>
        <v>0.99999996230177635</v>
      </c>
      <c r="M136" s="26"/>
      <c r="N136" s="30">
        <v>0</v>
      </c>
      <c r="P136" s="61">
        <v>0</v>
      </c>
      <c r="R136" s="68">
        <f t="shared" si="12"/>
        <v>0</v>
      </c>
    </row>
    <row r="137" spans="2:18" ht="25.15">
      <c r="B137" s="90"/>
      <c r="C137" s="24" t="s">
        <v>240</v>
      </c>
      <c r="D137" s="24" t="s">
        <v>19</v>
      </c>
      <c r="E137" s="32" t="s">
        <v>241</v>
      </c>
      <c r="F137" s="83"/>
      <c r="G137" s="36">
        <v>7129392.6200000001</v>
      </c>
      <c r="H137" s="28">
        <v>0</v>
      </c>
      <c r="I137" s="83"/>
      <c r="J137" s="27">
        <v>7129392.6200000001</v>
      </c>
      <c r="K137" s="27">
        <v>7129392.9000000004</v>
      </c>
      <c r="L137" s="29">
        <f t="shared" si="11"/>
        <v>1.0000000392740329</v>
      </c>
      <c r="M137" s="26"/>
      <c r="N137" s="30">
        <v>0</v>
      </c>
      <c r="P137" s="61">
        <v>0</v>
      </c>
      <c r="R137" s="68">
        <f t="shared" si="12"/>
        <v>0</v>
      </c>
    </row>
    <row r="138" spans="2:18" ht="25.15">
      <c r="B138" s="90"/>
      <c r="C138" s="24" t="s">
        <v>240</v>
      </c>
      <c r="D138" s="24" t="s">
        <v>19</v>
      </c>
      <c r="E138" s="32" t="s">
        <v>241</v>
      </c>
      <c r="F138" s="83"/>
      <c r="G138" s="36">
        <v>7162141.1699999999</v>
      </c>
      <c r="H138" s="28">
        <v>0</v>
      </c>
      <c r="I138" s="83"/>
      <c r="J138" s="27">
        <v>7162141.1699999999</v>
      </c>
      <c r="K138" s="27">
        <v>7162140.9000000004</v>
      </c>
      <c r="L138" s="29">
        <f t="shared" si="11"/>
        <v>0.99999996230177635</v>
      </c>
      <c r="M138" s="26"/>
      <c r="N138" s="30">
        <v>0</v>
      </c>
      <c r="P138" s="61">
        <v>0</v>
      </c>
      <c r="R138" s="68">
        <f t="shared" si="12"/>
        <v>0</v>
      </c>
    </row>
    <row r="139" spans="2:18" ht="25.15">
      <c r="B139" s="90"/>
      <c r="C139" s="24" t="s">
        <v>240</v>
      </c>
      <c r="D139" s="24" t="s">
        <v>19</v>
      </c>
      <c r="E139" s="32" t="s">
        <v>241</v>
      </c>
      <c r="F139" s="83"/>
      <c r="G139" s="36">
        <v>7162141.1699999999</v>
      </c>
      <c r="H139" s="28">
        <v>0</v>
      </c>
      <c r="I139" s="83"/>
      <c r="J139" s="27">
        <v>7162141.1699999999</v>
      </c>
      <c r="K139" s="27">
        <v>7162140.9000000004</v>
      </c>
      <c r="L139" s="29">
        <f t="shared" si="11"/>
        <v>0.99999996230177635</v>
      </c>
      <c r="M139" s="26"/>
      <c r="N139" s="30">
        <v>0</v>
      </c>
      <c r="P139" s="61">
        <v>0</v>
      </c>
      <c r="R139" s="68">
        <f t="shared" si="12"/>
        <v>0</v>
      </c>
    </row>
    <row r="140" spans="2:18" ht="25.15">
      <c r="B140" s="90"/>
      <c r="C140" s="24" t="s">
        <v>240</v>
      </c>
      <c r="D140" s="24" t="s">
        <v>19</v>
      </c>
      <c r="E140" s="25" t="s">
        <v>241</v>
      </c>
      <c r="F140" s="80"/>
      <c r="G140" s="36">
        <v>7129392.6200000001</v>
      </c>
      <c r="H140" s="28">
        <v>0</v>
      </c>
      <c r="I140" s="80"/>
      <c r="J140" s="27">
        <v>7129392</v>
      </c>
      <c r="K140" s="27">
        <v>7129391.9100000001</v>
      </c>
      <c r="L140" s="29">
        <f t="shared" si="11"/>
        <v>0.99999990041227382</v>
      </c>
      <c r="M140" s="26"/>
      <c r="N140" s="30">
        <v>0</v>
      </c>
      <c r="P140" s="61">
        <v>0</v>
      </c>
      <c r="R140" s="68">
        <f t="shared" si="12"/>
        <v>0</v>
      </c>
    </row>
    <row r="141" spans="2:18" ht="25.15">
      <c r="B141" s="51">
        <v>109</v>
      </c>
      <c r="C141" s="24" t="s">
        <v>242</v>
      </c>
      <c r="D141" s="24" t="s">
        <v>19</v>
      </c>
      <c r="E141" s="33" t="s">
        <v>243</v>
      </c>
      <c r="F141" s="34">
        <v>79107763</v>
      </c>
      <c r="G141" s="36">
        <v>79107763</v>
      </c>
      <c r="H141" s="28">
        <v>0</v>
      </c>
      <c r="I141" s="34">
        <f>+F141+G141+H141</f>
        <v>158215526</v>
      </c>
      <c r="J141" s="27">
        <v>79107763</v>
      </c>
      <c r="K141" s="27">
        <v>12564748</v>
      </c>
      <c r="L141" s="29">
        <f t="shared" si="11"/>
        <v>0.15883078377529145</v>
      </c>
      <c r="M141" s="26">
        <v>66543015</v>
      </c>
      <c r="N141" s="30">
        <v>0</v>
      </c>
      <c r="P141" s="61">
        <v>0</v>
      </c>
      <c r="R141" s="68">
        <f t="shared" si="12"/>
        <v>0</v>
      </c>
    </row>
    <row r="142" spans="2:18" ht="25.15">
      <c r="B142" s="51">
        <v>110</v>
      </c>
      <c r="C142" s="24" t="s">
        <v>244</v>
      </c>
      <c r="D142" s="24" t="s">
        <v>19</v>
      </c>
      <c r="E142" s="25" t="s">
        <v>245</v>
      </c>
      <c r="F142" s="26">
        <v>781242000</v>
      </c>
      <c r="G142" s="27">
        <v>200877507</v>
      </c>
      <c r="H142" s="28">
        <v>0</v>
      </c>
      <c r="I142" s="26">
        <f t="shared" ref="I142:I143" si="13">+F142+G142+H142</f>
        <v>982119507</v>
      </c>
      <c r="J142" s="27">
        <v>200877507</v>
      </c>
      <c r="K142" s="27">
        <v>4739503.4800000004</v>
      </c>
      <c r="L142" s="29">
        <f t="shared" si="11"/>
        <v>2.3593997908387027E-2</v>
      </c>
      <c r="M142" s="26">
        <v>196138003.52000001</v>
      </c>
      <c r="N142" s="30">
        <v>0</v>
      </c>
      <c r="P142" s="61">
        <v>0</v>
      </c>
      <c r="R142" s="68">
        <f t="shared" si="12"/>
        <v>0</v>
      </c>
    </row>
    <row r="143" spans="2:18" ht="29.45" customHeight="1">
      <c r="B143" s="51">
        <v>111</v>
      </c>
      <c r="C143" s="24" t="s">
        <v>145</v>
      </c>
      <c r="D143" s="24" t="s">
        <v>19</v>
      </c>
      <c r="E143" s="25" t="s">
        <v>246</v>
      </c>
      <c r="F143" s="26">
        <v>91847964</v>
      </c>
      <c r="G143" s="27">
        <v>92174528</v>
      </c>
      <c r="H143" s="28">
        <v>0</v>
      </c>
      <c r="I143" s="26">
        <f t="shared" si="13"/>
        <v>184022492</v>
      </c>
      <c r="J143" s="27">
        <v>92174528</v>
      </c>
      <c r="K143" s="27">
        <v>14080060.612</v>
      </c>
      <c r="L143" s="29">
        <f t="shared" si="11"/>
        <v>0.15275435543320601</v>
      </c>
      <c r="M143" s="26">
        <v>78094467.387999997</v>
      </c>
      <c r="N143" s="30">
        <v>0</v>
      </c>
      <c r="P143" s="61">
        <v>0</v>
      </c>
      <c r="R143" s="68">
        <f t="shared" si="12"/>
        <v>0</v>
      </c>
    </row>
    <row r="144" spans="2:18" ht="25.15">
      <c r="B144" s="51">
        <v>112</v>
      </c>
      <c r="C144" s="24" t="s">
        <v>247</v>
      </c>
      <c r="D144" s="24" t="s">
        <v>19</v>
      </c>
      <c r="E144" s="25" t="s">
        <v>248</v>
      </c>
      <c r="F144" s="26">
        <v>13836617020</v>
      </c>
      <c r="G144" s="27">
        <f>2452000000+200000000+374357917</f>
        <v>3026357917</v>
      </c>
      <c r="H144" s="28">
        <v>0</v>
      </c>
      <c r="I144" s="26">
        <f>+F144+G144+H144</f>
        <v>16862974937</v>
      </c>
      <c r="J144" s="27">
        <f>2452000000+200000000+374357917</f>
        <v>3026357917</v>
      </c>
      <c r="K144" s="27">
        <v>73914407</v>
      </c>
      <c r="L144" s="29">
        <f t="shared" si="11"/>
        <v>2.4423551023095989E-2</v>
      </c>
      <c r="M144" s="26">
        <v>2952443510</v>
      </c>
      <c r="N144" s="30">
        <v>0</v>
      </c>
      <c r="P144" s="61">
        <v>0</v>
      </c>
      <c r="R144" s="68">
        <f t="shared" si="12"/>
        <v>0</v>
      </c>
    </row>
    <row r="145" spans="2:18" ht="25.15">
      <c r="B145" s="51">
        <v>113</v>
      </c>
      <c r="C145" s="24" t="s">
        <v>249</v>
      </c>
      <c r="D145" s="24" t="s">
        <v>19</v>
      </c>
      <c r="E145" s="33" t="s">
        <v>250</v>
      </c>
      <c r="F145" s="38">
        <v>307770590</v>
      </c>
      <c r="G145" s="36">
        <v>321175184</v>
      </c>
      <c r="H145" s="28">
        <v>0</v>
      </c>
      <c r="I145" s="26">
        <f>+F145+G145+H145</f>
        <v>628945774</v>
      </c>
      <c r="J145" s="27">
        <v>318089880</v>
      </c>
      <c r="K145" s="27">
        <v>295861493.02999997</v>
      </c>
      <c r="L145" s="29">
        <f t="shared" si="11"/>
        <v>0.92118416293956251</v>
      </c>
      <c r="M145" s="26">
        <v>22228386.969999999</v>
      </c>
      <c r="N145" s="30">
        <v>0</v>
      </c>
      <c r="P145" s="61">
        <v>0</v>
      </c>
      <c r="R145" s="68">
        <f t="shared" si="12"/>
        <v>0</v>
      </c>
    </row>
    <row r="146" spans="2:18" ht="25.15">
      <c r="B146" s="51">
        <v>114</v>
      </c>
      <c r="C146" s="24" t="s">
        <v>251</v>
      </c>
      <c r="D146" s="24" t="s">
        <v>19</v>
      </c>
      <c r="E146" s="33" t="s">
        <v>252</v>
      </c>
      <c r="F146" s="34">
        <v>1682809874</v>
      </c>
      <c r="G146" s="36">
        <v>430826900</v>
      </c>
      <c r="H146" s="28">
        <v>0</v>
      </c>
      <c r="I146" s="26">
        <f>+F146+G146+H146</f>
        <v>2113636774</v>
      </c>
      <c r="J146" s="27">
        <v>430826900</v>
      </c>
      <c r="K146" s="27">
        <v>10124432</v>
      </c>
      <c r="L146" s="29">
        <f t="shared" si="11"/>
        <v>2.3499999651832325E-2</v>
      </c>
      <c r="M146" s="26">
        <v>420702468</v>
      </c>
      <c r="N146" s="30">
        <v>0</v>
      </c>
      <c r="P146" s="61">
        <v>503823.25</v>
      </c>
      <c r="R146" s="68">
        <f t="shared" si="12"/>
        <v>503823.25</v>
      </c>
    </row>
    <row r="147" spans="2:18" ht="25.15">
      <c r="B147" s="51">
        <v>115</v>
      </c>
      <c r="C147" s="24" t="s">
        <v>253</v>
      </c>
      <c r="D147" s="24" t="s">
        <v>18</v>
      </c>
      <c r="E147" s="25" t="s">
        <v>254</v>
      </c>
      <c r="F147" s="26">
        <v>1500521151.51</v>
      </c>
      <c r="G147" s="27">
        <f>170000000+120000000+150000000</f>
        <v>440000000</v>
      </c>
      <c r="H147" s="28">
        <v>0</v>
      </c>
      <c r="I147" s="26">
        <f>+F147+G147+H147</f>
        <v>1940521151.51</v>
      </c>
      <c r="J147" s="27">
        <f>290000000+150000000</f>
        <v>440000000</v>
      </c>
      <c r="K147" s="27">
        <v>288018188.33200002</v>
      </c>
      <c r="L147" s="29">
        <f t="shared" si="11"/>
        <v>0.65458679166363642</v>
      </c>
      <c r="M147" s="26"/>
      <c r="N147" s="30">
        <f t="shared" ref="N147:N185" si="14">+J147-K147-M147</f>
        <v>151981811.66799998</v>
      </c>
      <c r="P147" s="61">
        <v>1430799.24</v>
      </c>
      <c r="R147" s="68">
        <f t="shared" si="12"/>
        <v>1430799.24</v>
      </c>
    </row>
    <row r="148" spans="2:18" ht="37.9">
      <c r="B148" s="87">
        <v>116</v>
      </c>
      <c r="C148" s="24" t="s">
        <v>255</v>
      </c>
      <c r="D148" s="39" t="s">
        <v>18</v>
      </c>
      <c r="E148" s="32" t="s">
        <v>256</v>
      </c>
      <c r="F148" s="79">
        <v>1202844329</v>
      </c>
      <c r="G148" s="27">
        <v>620214238</v>
      </c>
      <c r="H148" s="28">
        <v>0</v>
      </c>
      <c r="I148" s="79">
        <f>+F148+G148+G149+H148+H149</f>
        <v>2437611567</v>
      </c>
      <c r="J148" s="27">
        <v>620214238</v>
      </c>
      <c r="K148" s="27">
        <v>17344292</v>
      </c>
      <c r="L148" s="29">
        <f t="shared" si="11"/>
        <v>2.796500134522871E-2</v>
      </c>
      <c r="M148" s="26"/>
      <c r="N148" s="30">
        <f t="shared" si="14"/>
        <v>602869946</v>
      </c>
      <c r="P148" s="61">
        <v>5614470.2800000003</v>
      </c>
      <c r="R148" s="68">
        <f t="shared" si="12"/>
        <v>5614470.2800000003</v>
      </c>
    </row>
    <row r="149" spans="2:18" ht="37.9">
      <c r="B149" s="88"/>
      <c r="C149" s="24" t="s">
        <v>255</v>
      </c>
      <c r="D149" s="39" t="s">
        <v>18</v>
      </c>
      <c r="E149" s="32" t="s">
        <v>256</v>
      </c>
      <c r="F149" s="80"/>
      <c r="G149" s="27">
        <v>614553000</v>
      </c>
      <c r="H149" s="28">
        <v>0</v>
      </c>
      <c r="I149" s="80"/>
      <c r="J149" s="27">
        <v>614553000</v>
      </c>
      <c r="K149" s="27">
        <v>17254718.899999999</v>
      </c>
      <c r="L149" s="29">
        <f t="shared" si="11"/>
        <v>2.8076860579966251E-2</v>
      </c>
      <c r="M149" s="26"/>
      <c r="N149" s="30">
        <f t="shared" si="14"/>
        <v>597298281.10000002</v>
      </c>
      <c r="P149" s="61">
        <v>5560802.9100000001</v>
      </c>
      <c r="R149" s="68">
        <f t="shared" si="12"/>
        <v>5560802.9100000001</v>
      </c>
    </row>
    <row r="150" spans="2:18" ht="27.75" customHeight="1">
      <c r="B150" s="51">
        <v>117</v>
      </c>
      <c r="C150" s="24" t="s">
        <v>257</v>
      </c>
      <c r="D150" s="24" t="s">
        <v>18</v>
      </c>
      <c r="E150" s="25" t="s">
        <v>258</v>
      </c>
      <c r="F150" s="26">
        <v>144201002</v>
      </c>
      <c r="G150" s="36">
        <v>150306136</v>
      </c>
      <c r="H150" s="28">
        <v>0</v>
      </c>
      <c r="I150" s="26">
        <f>+F150+G150+H150</f>
        <v>294507138</v>
      </c>
      <c r="J150" s="27">
        <f>149690079+616057</f>
        <v>150306136</v>
      </c>
      <c r="K150" s="27">
        <v>113743364.95999999</v>
      </c>
      <c r="L150" s="29">
        <f t="shared" si="11"/>
        <v>0.75674465452295303</v>
      </c>
      <c r="M150" s="26"/>
      <c r="N150" s="30">
        <f t="shared" si="14"/>
        <v>36562771.040000007</v>
      </c>
      <c r="P150" s="61">
        <v>167483.01</v>
      </c>
      <c r="R150" s="68">
        <f t="shared" si="12"/>
        <v>167483.01</v>
      </c>
    </row>
    <row r="151" spans="2:18" ht="27.6" customHeight="1">
      <c r="B151" s="87">
        <v>118</v>
      </c>
      <c r="C151" s="24" t="s">
        <v>259</v>
      </c>
      <c r="D151" s="24" t="s">
        <v>18</v>
      </c>
      <c r="E151" s="25" t="s">
        <v>260</v>
      </c>
      <c r="F151" s="79">
        <v>192605756</v>
      </c>
      <c r="G151" s="36">
        <v>25136451</v>
      </c>
      <c r="H151" s="28">
        <v>0</v>
      </c>
      <c r="I151" s="79">
        <f>+F151+G151+G152+H151+H152</f>
        <v>243567442</v>
      </c>
      <c r="J151" s="27">
        <f>24377328.64+382075.59</f>
        <v>24759404.23</v>
      </c>
      <c r="K151" s="27">
        <v>23546608.560000002</v>
      </c>
      <c r="L151" s="29">
        <f t="shared" si="11"/>
        <v>0.93675151516019517</v>
      </c>
      <c r="M151" s="26"/>
      <c r="N151" s="30">
        <f t="shared" si="14"/>
        <v>1212795.6699999981</v>
      </c>
      <c r="P151" s="61">
        <v>7187.81</v>
      </c>
      <c r="R151" s="68">
        <f t="shared" si="12"/>
        <v>7187.81</v>
      </c>
    </row>
    <row r="152" spans="2:18" ht="31.15" customHeight="1">
      <c r="B152" s="88"/>
      <c r="C152" s="24" t="s">
        <v>259</v>
      </c>
      <c r="D152" s="24" t="s">
        <v>18</v>
      </c>
      <c r="E152" s="25" t="s">
        <v>260</v>
      </c>
      <c r="F152" s="80"/>
      <c r="G152" s="36">
        <v>25825235</v>
      </c>
      <c r="H152" s="28">
        <v>0</v>
      </c>
      <c r="I152" s="80"/>
      <c r="J152" s="27">
        <v>25825235</v>
      </c>
      <c r="K152" s="27">
        <v>24564381.359999999</v>
      </c>
      <c r="L152" s="29">
        <f t="shared" si="11"/>
        <v>0.9511774572428866</v>
      </c>
      <c r="M152" s="26"/>
      <c r="N152" s="30">
        <f t="shared" si="14"/>
        <v>1260853.6400000006</v>
      </c>
      <c r="P152" s="61">
        <v>7382.58</v>
      </c>
      <c r="R152" s="68">
        <f t="shared" si="12"/>
        <v>7382.58</v>
      </c>
    </row>
    <row r="153" spans="2:18" ht="37.9">
      <c r="B153" s="51">
        <v>119</v>
      </c>
      <c r="C153" s="24" t="s">
        <v>261</v>
      </c>
      <c r="D153" s="24" t="s">
        <v>18</v>
      </c>
      <c r="E153" s="33" t="s">
        <v>262</v>
      </c>
      <c r="F153" s="34">
        <v>3539951843</v>
      </c>
      <c r="G153" s="36">
        <v>676054313</v>
      </c>
      <c r="H153" s="28">
        <v>0</v>
      </c>
      <c r="I153" s="26">
        <f>+F153+G153+H153</f>
        <v>4216006156</v>
      </c>
      <c r="J153" s="27">
        <v>676054313</v>
      </c>
      <c r="K153" s="27">
        <v>650602103</v>
      </c>
      <c r="L153" s="29">
        <f t="shared" si="11"/>
        <v>0.96235182660538698</v>
      </c>
      <c r="M153" s="26"/>
      <c r="N153" s="30">
        <f t="shared" si="14"/>
        <v>25452210</v>
      </c>
      <c r="P153" s="61">
        <v>118063.4</v>
      </c>
      <c r="R153" s="68">
        <f t="shared" si="12"/>
        <v>118063.4</v>
      </c>
    </row>
    <row r="154" spans="2:18" ht="37.9">
      <c r="B154" s="51">
        <v>120</v>
      </c>
      <c r="C154" s="24" t="s">
        <v>263</v>
      </c>
      <c r="D154" s="24" t="s">
        <v>18</v>
      </c>
      <c r="E154" s="33" t="s">
        <v>264</v>
      </c>
      <c r="F154" s="34">
        <v>1447792777</v>
      </c>
      <c r="G154" s="36">
        <f>372361027+150000000</f>
        <v>522361027</v>
      </c>
      <c r="H154" s="28">
        <v>0</v>
      </c>
      <c r="I154" s="26">
        <f>+F154+G154+H154</f>
        <v>1970153804</v>
      </c>
      <c r="J154" s="27">
        <f>372361027+150000000</f>
        <v>522361027</v>
      </c>
      <c r="K154" s="27">
        <v>370235875</v>
      </c>
      <c r="L154" s="29">
        <f t="shared" si="11"/>
        <v>0.70877392428436281</v>
      </c>
      <c r="M154" s="26"/>
      <c r="N154" s="30">
        <f t="shared" si="14"/>
        <v>152125152</v>
      </c>
      <c r="P154" s="61">
        <v>576364.78</v>
      </c>
      <c r="R154" s="68">
        <f t="shared" si="12"/>
        <v>576364.78</v>
      </c>
    </row>
    <row r="155" spans="2:18" ht="37.9">
      <c r="B155" s="51">
        <v>121</v>
      </c>
      <c r="C155" s="24" t="s">
        <v>265</v>
      </c>
      <c r="D155" s="24" t="s">
        <v>18</v>
      </c>
      <c r="E155" s="33" t="s">
        <v>266</v>
      </c>
      <c r="F155" s="34">
        <v>1919038524</v>
      </c>
      <c r="G155" s="36">
        <v>493562095</v>
      </c>
      <c r="H155" s="28">
        <v>0</v>
      </c>
      <c r="I155" s="26">
        <f>+F155+G155+H155</f>
        <v>2412600619</v>
      </c>
      <c r="J155" s="27">
        <v>493562095</v>
      </c>
      <c r="K155" s="27">
        <v>368093454</v>
      </c>
      <c r="L155" s="29">
        <f t="shared" si="11"/>
        <v>0.74578955257899215</v>
      </c>
      <c r="M155" s="26"/>
      <c r="N155" s="30">
        <f t="shared" si="14"/>
        <v>125468641</v>
      </c>
      <c r="P155" s="61">
        <v>492047.28</v>
      </c>
      <c r="R155" s="68">
        <f t="shared" si="12"/>
        <v>492047.28</v>
      </c>
    </row>
    <row r="156" spans="2:18" ht="25.15">
      <c r="B156" s="87">
        <v>122</v>
      </c>
      <c r="C156" s="24" t="s">
        <v>267</v>
      </c>
      <c r="D156" s="24" t="s">
        <v>18</v>
      </c>
      <c r="E156" s="33" t="s">
        <v>268</v>
      </c>
      <c r="F156" s="79">
        <v>3910382085</v>
      </c>
      <c r="G156" s="36">
        <v>717948718</v>
      </c>
      <c r="H156" s="40">
        <v>0</v>
      </c>
      <c r="I156" s="81">
        <f>+F156+G156+G157+H156+H157</f>
        <v>4908531254</v>
      </c>
      <c r="J156" s="36">
        <v>700000000</v>
      </c>
      <c r="K156" s="27">
        <v>187085711.12</v>
      </c>
      <c r="L156" s="29">
        <f t="shared" si="11"/>
        <v>0.26058366904138691</v>
      </c>
      <c r="M156" s="26"/>
      <c r="N156" s="30">
        <f t="shared" si="14"/>
        <v>512914288.88</v>
      </c>
      <c r="P156" s="61">
        <v>2120364.73</v>
      </c>
      <c r="R156" s="68">
        <f t="shared" si="12"/>
        <v>2120364.73</v>
      </c>
    </row>
    <row r="157" spans="2:18" ht="25.15">
      <c r="B157" s="88"/>
      <c r="C157" s="24" t="s">
        <v>267</v>
      </c>
      <c r="D157" s="24" t="s">
        <v>18</v>
      </c>
      <c r="E157" s="33" t="s">
        <v>268</v>
      </c>
      <c r="F157" s="80"/>
      <c r="G157" s="36">
        <v>280200451</v>
      </c>
      <c r="H157" s="40">
        <v>0</v>
      </c>
      <c r="I157" s="82"/>
      <c r="J157" s="36">
        <v>280295000</v>
      </c>
      <c r="K157" s="27">
        <v>74877707.319999993</v>
      </c>
      <c r="L157" s="29">
        <f t="shared" si="11"/>
        <v>0.26722907494535042</v>
      </c>
      <c r="M157" s="26"/>
      <c r="N157" s="30">
        <f t="shared" si="14"/>
        <v>205417292.68000001</v>
      </c>
      <c r="P157" s="61">
        <v>853143.71</v>
      </c>
      <c r="R157" s="68">
        <f t="shared" si="12"/>
        <v>853143.71</v>
      </c>
    </row>
    <row r="158" spans="2:18" ht="25.15">
      <c r="B158" s="87">
        <v>123</v>
      </c>
      <c r="C158" s="24" t="s">
        <v>269</v>
      </c>
      <c r="D158" s="24" t="s">
        <v>18</v>
      </c>
      <c r="E158" s="33" t="s">
        <v>270</v>
      </c>
      <c r="F158" s="79">
        <v>375100000</v>
      </c>
      <c r="G158" s="36">
        <v>10899564</v>
      </c>
      <c r="H158" s="28">
        <v>0</v>
      </c>
      <c r="I158" s="79">
        <f>+F158+G158+G159+G160+G161+G162+G163+G164+G165+G166+G167+H158+H159+H160+H161+H162+H163+H164+H165+H166+H167</f>
        <v>484095640</v>
      </c>
      <c r="J158" s="27">
        <v>10899564</v>
      </c>
      <c r="K158" s="27">
        <v>8739359.3000000007</v>
      </c>
      <c r="L158" s="29">
        <f t="shared" si="11"/>
        <v>0.80180815489500323</v>
      </c>
      <c r="M158" s="26"/>
      <c r="N158" s="30">
        <f t="shared" si="14"/>
        <v>2160204.6999999993</v>
      </c>
      <c r="P158" s="61">
        <v>14398.72</v>
      </c>
      <c r="R158" s="68">
        <f t="shared" si="12"/>
        <v>14398.72</v>
      </c>
    </row>
    <row r="159" spans="2:18" ht="25.15">
      <c r="B159" s="89"/>
      <c r="C159" s="24" t="s">
        <v>269</v>
      </c>
      <c r="D159" s="24" t="s">
        <v>18</v>
      </c>
      <c r="E159" s="33" t="s">
        <v>270</v>
      </c>
      <c r="F159" s="83"/>
      <c r="G159" s="36">
        <v>10899564</v>
      </c>
      <c r="H159" s="28">
        <v>0</v>
      </c>
      <c r="I159" s="83"/>
      <c r="J159" s="27">
        <v>10899564</v>
      </c>
      <c r="K159" s="27">
        <v>8750599.6999999993</v>
      </c>
      <c r="L159" s="29">
        <f t="shared" si="11"/>
        <v>0.80283942550362564</v>
      </c>
      <c r="M159" s="26"/>
      <c r="N159" s="30">
        <f t="shared" si="14"/>
        <v>2148964.3000000007</v>
      </c>
      <c r="P159" s="61">
        <v>15703.36</v>
      </c>
      <c r="R159" s="68">
        <f t="shared" si="12"/>
        <v>15703.36</v>
      </c>
    </row>
    <row r="160" spans="2:18" ht="25.15">
      <c r="B160" s="89"/>
      <c r="C160" s="24" t="s">
        <v>269</v>
      </c>
      <c r="D160" s="24" t="s">
        <v>18</v>
      </c>
      <c r="E160" s="33" t="s">
        <v>270</v>
      </c>
      <c r="F160" s="83"/>
      <c r="G160" s="36">
        <v>10899564</v>
      </c>
      <c r="H160" s="28">
        <v>0</v>
      </c>
      <c r="I160" s="83"/>
      <c r="J160" s="36">
        <v>10899564</v>
      </c>
      <c r="K160" s="27">
        <v>8737908.8699999992</v>
      </c>
      <c r="L160" s="29">
        <f t="shared" si="11"/>
        <v>0.80167508259963416</v>
      </c>
      <c r="M160" s="26"/>
      <c r="N160" s="30">
        <f t="shared" si="14"/>
        <v>2161655.1300000008</v>
      </c>
      <c r="P160" s="61">
        <v>15769.63</v>
      </c>
      <c r="R160" s="68">
        <f t="shared" si="12"/>
        <v>15769.63</v>
      </c>
    </row>
    <row r="161" spans="2:18" ht="25.15">
      <c r="B161" s="89"/>
      <c r="C161" s="24" t="s">
        <v>269</v>
      </c>
      <c r="D161" s="24" t="s">
        <v>18</v>
      </c>
      <c r="E161" s="33" t="s">
        <v>270</v>
      </c>
      <c r="F161" s="83"/>
      <c r="G161" s="36">
        <v>10899564</v>
      </c>
      <c r="H161" s="28">
        <v>0</v>
      </c>
      <c r="I161" s="83"/>
      <c r="J161" s="27">
        <v>10899564</v>
      </c>
      <c r="K161" s="27">
        <v>8749888.1899999995</v>
      </c>
      <c r="L161" s="29">
        <f t="shared" si="11"/>
        <v>0.80277414674568626</v>
      </c>
      <c r="M161" s="26"/>
      <c r="N161" s="30">
        <f t="shared" si="14"/>
        <v>2149675.8100000005</v>
      </c>
      <c r="P161" s="61">
        <v>16302</v>
      </c>
      <c r="R161" s="68">
        <f t="shared" si="12"/>
        <v>16302</v>
      </c>
    </row>
    <row r="162" spans="2:18" ht="25.15">
      <c r="B162" s="89"/>
      <c r="C162" s="24" t="s">
        <v>269</v>
      </c>
      <c r="D162" s="24" t="s">
        <v>18</v>
      </c>
      <c r="E162" s="33" t="s">
        <v>270</v>
      </c>
      <c r="F162" s="83"/>
      <c r="G162" s="36">
        <v>10899564</v>
      </c>
      <c r="H162" s="28">
        <v>0</v>
      </c>
      <c r="I162" s="83"/>
      <c r="J162" s="27">
        <v>10899564</v>
      </c>
      <c r="K162" s="27">
        <v>8750600.9299999997</v>
      </c>
      <c r="L162" s="29">
        <f t="shared" si="11"/>
        <v>0.80283953835217625</v>
      </c>
      <c r="M162" s="26"/>
      <c r="N162" s="30">
        <f t="shared" si="14"/>
        <v>2148963.0700000003</v>
      </c>
      <c r="P162" s="61">
        <v>15726.65</v>
      </c>
      <c r="R162" s="68">
        <f t="shared" si="12"/>
        <v>15726.65</v>
      </c>
    </row>
    <row r="163" spans="2:18" ht="25.15">
      <c r="B163" s="89"/>
      <c r="C163" s="24" t="s">
        <v>269</v>
      </c>
      <c r="D163" s="24" t="s">
        <v>18</v>
      </c>
      <c r="E163" s="33" t="s">
        <v>270</v>
      </c>
      <c r="F163" s="83"/>
      <c r="G163" s="36">
        <v>10899564</v>
      </c>
      <c r="H163" s="28">
        <v>0</v>
      </c>
      <c r="I163" s="83"/>
      <c r="J163" s="27">
        <v>10899564</v>
      </c>
      <c r="K163" s="27">
        <v>8750278.1137600001</v>
      </c>
      <c r="L163" s="29">
        <f t="shared" si="11"/>
        <v>0.80280992099867476</v>
      </c>
      <c r="M163" s="26"/>
      <c r="N163" s="30">
        <f t="shared" si="14"/>
        <v>2149285.8862399999</v>
      </c>
      <c r="P163" s="61">
        <v>15917.26</v>
      </c>
      <c r="R163" s="68">
        <f t="shared" si="12"/>
        <v>15917.26</v>
      </c>
    </row>
    <row r="164" spans="2:18" ht="25.15">
      <c r="B164" s="89"/>
      <c r="C164" s="24" t="s">
        <v>269</v>
      </c>
      <c r="D164" s="24" t="s">
        <v>18</v>
      </c>
      <c r="E164" s="33" t="s">
        <v>270</v>
      </c>
      <c r="F164" s="83"/>
      <c r="G164" s="36">
        <v>10899564</v>
      </c>
      <c r="H164" s="28">
        <v>0</v>
      </c>
      <c r="I164" s="83"/>
      <c r="J164" s="36">
        <v>10899564</v>
      </c>
      <c r="K164" s="27">
        <v>8750599.0800000001</v>
      </c>
      <c r="L164" s="29">
        <f t="shared" si="11"/>
        <v>0.80283936862061644</v>
      </c>
      <c r="M164" s="26"/>
      <c r="N164" s="30">
        <f t="shared" si="14"/>
        <v>2148964.92</v>
      </c>
      <c r="P164" s="61">
        <v>15716.55</v>
      </c>
      <c r="R164" s="68">
        <f t="shared" si="12"/>
        <v>15716.55</v>
      </c>
    </row>
    <row r="165" spans="2:18" ht="25.15">
      <c r="B165" s="89"/>
      <c r="C165" s="24" t="s">
        <v>269</v>
      </c>
      <c r="D165" s="24" t="s">
        <v>18</v>
      </c>
      <c r="E165" s="33" t="s">
        <v>270</v>
      </c>
      <c r="F165" s="83"/>
      <c r="G165" s="36">
        <v>10899564</v>
      </c>
      <c r="H165" s="28">
        <v>0</v>
      </c>
      <c r="I165" s="83"/>
      <c r="J165" s="27">
        <v>10899564</v>
      </c>
      <c r="K165" s="27">
        <v>8750423.0800000001</v>
      </c>
      <c r="L165" s="29">
        <f t="shared" si="11"/>
        <v>0.80282322118572813</v>
      </c>
      <c r="M165" s="26"/>
      <c r="N165" s="30">
        <f t="shared" si="14"/>
        <v>2149140.92</v>
      </c>
      <c r="P165" s="61">
        <v>15866.85</v>
      </c>
      <c r="R165" s="68">
        <f t="shared" si="12"/>
        <v>15866.85</v>
      </c>
    </row>
    <row r="166" spans="2:18" ht="25.15">
      <c r="B166" s="89"/>
      <c r="C166" s="24" t="s">
        <v>269</v>
      </c>
      <c r="D166" s="24" t="s">
        <v>18</v>
      </c>
      <c r="E166" s="33" t="s">
        <v>270</v>
      </c>
      <c r="F166" s="83"/>
      <c r="G166" s="36">
        <v>10899564</v>
      </c>
      <c r="H166" s="28">
        <v>0</v>
      </c>
      <c r="I166" s="83"/>
      <c r="J166" s="27">
        <v>10899564</v>
      </c>
      <c r="K166" s="27">
        <v>8750418.9800000004</v>
      </c>
      <c r="L166" s="29">
        <f t="shared" si="11"/>
        <v>0.80282284502389278</v>
      </c>
      <c r="M166" s="26"/>
      <c r="N166" s="30">
        <f t="shared" si="14"/>
        <v>2149145.0199999996</v>
      </c>
      <c r="P166" s="61">
        <v>15707.48</v>
      </c>
      <c r="R166" s="68">
        <f t="shared" si="12"/>
        <v>15707.48</v>
      </c>
    </row>
    <row r="167" spans="2:18" ht="25.15">
      <c r="B167" s="89"/>
      <c r="C167" s="24" t="s">
        <v>269</v>
      </c>
      <c r="D167" s="24" t="s">
        <v>18</v>
      </c>
      <c r="E167" s="33" t="s">
        <v>270</v>
      </c>
      <c r="F167" s="80"/>
      <c r="G167" s="36">
        <v>10899564</v>
      </c>
      <c r="H167" s="28">
        <v>0</v>
      </c>
      <c r="I167" s="80"/>
      <c r="J167" s="27">
        <f>8512564+2387000</f>
        <v>10899564</v>
      </c>
      <c r="K167" s="27">
        <v>8737379.1300000008</v>
      </c>
      <c r="L167" s="29">
        <f t="shared" si="11"/>
        <v>0.80162648065555653</v>
      </c>
      <c r="M167" s="26"/>
      <c r="N167" s="30">
        <f t="shared" si="14"/>
        <v>2162184.8699999992</v>
      </c>
      <c r="P167" s="61">
        <v>16349.87</v>
      </c>
      <c r="R167" s="68">
        <f t="shared" si="12"/>
        <v>16349.87</v>
      </c>
    </row>
    <row r="168" spans="2:18" ht="25.15">
      <c r="B168" s="51">
        <v>124</v>
      </c>
      <c r="C168" s="24" t="s">
        <v>271</v>
      </c>
      <c r="D168" s="24" t="s">
        <v>18</v>
      </c>
      <c r="E168" s="33" t="s">
        <v>272</v>
      </c>
      <c r="F168" s="34">
        <v>938189447</v>
      </c>
      <c r="G168" s="36">
        <v>242288245</v>
      </c>
      <c r="H168" s="28">
        <v>0</v>
      </c>
      <c r="I168" s="34">
        <f>+F168+G168+H168</f>
        <v>1180477692</v>
      </c>
      <c r="J168" s="27">
        <f>80988245+161300000</f>
        <v>242288245</v>
      </c>
      <c r="K168" s="27">
        <v>208792217.32999998</v>
      </c>
      <c r="L168" s="29">
        <f t="shared" si="11"/>
        <v>0.86175132982617453</v>
      </c>
      <c r="M168" s="26"/>
      <c r="N168" s="30">
        <f t="shared" si="14"/>
        <v>33496027.670000017</v>
      </c>
      <c r="P168" s="61">
        <v>149069.5</v>
      </c>
      <c r="R168" s="68">
        <f t="shared" si="12"/>
        <v>149069.5</v>
      </c>
    </row>
    <row r="169" spans="2:18" ht="37.9">
      <c r="B169" s="51">
        <v>125</v>
      </c>
      <c r="C169" s="24" t="s">
        <v>273</v>
      </c>
      <c r="D169" s="24" t="s">
        <v>18</v>
      </c>
      <c r="E169" s="33" t="s">
        <v>274</v>
      </c>
      <c r="F169" s="34">
        <v>581962993</v>
      </c>
      <c r="G169" s="36">
        <v>601169805</v>
      </c>
      <c r="H169" s="28">
        <v>0</v>
      </c>
      <c r="I169" s="34">
        <f t="shared" ref="I169:I185" si="15">+F169+G169+H169</f>
        <v>1183132798</v>
      </c>
      <c r="J169" s="27">
        <v>601169805</v>
      </c>
      <c r="K169" s="27">
        <v>568010677.09679997</v>
      </c>
      <c r="L169" s="29">
        <f t="shared" si="11"/>
        <v>0.9448423263653436</v>
      </c>
      <c r="M169" s="26"/>
      <c r="N169" s="30">
        <f t="shared" si="14"/>
        <v>33159127.90320003</v>
      </c>
      <c r="P169" s="61">
        <v>877256.79</v>
      </c>
      <c r="R169" s="68">
        <f t="shared" si="12"/>
        <v>877256.79</v>
      </c>
    </row>
    <row r="170" spans="2:18" ht="25.15">
      <c r="B170" s="51">
        <v>126</v>
      </c>
      <c r="C170" s="24" t="s">
        <v>275</v>
      </c>
      <c r="D170" s="24" t="s">
        <v>18</v>
      </c>
      <c r="E170" s="33" t="s">
        <v>276</v>
      </c>
      <c r="F170" s="34">
        <v>1816811288</v>
      </c>
      <c r="G170" s="36">
        <v>916659831</v>
      </c>
      <c r="H170" s="28">
        <v>0</v>
      </c>
      <c r="I170" s="34">
        <f>+F170+G170+H170</f>
        <v>2733471119</v>
      </c>
      <c r="J170" s="36">
        <v>916659831</v>
      </c>
      <c r="K170" s="27">
        <v>807790850</v>
      </c>
      <c r="L170" s="29">
        <f t="shared" si="11"/>
        <v>0.88123295325242634</v>
      </c>
      <c r="M170" s="26"/>
      <c r="N170" s="30">
        <f t="shared" si="14"/>
        <v>108868981</v>
      </c>
      <c r="P170" s="61">
        <v>916428.34</v>
      </c>
      <c r="R170" s="68">
        <f t="shared" si="12"/>
        <v>916428.34</v>
      </c>
    </row>
    <row r="171" spans="2:18" ht="37.9">
      <c r="B171" s="51">
        <v>127</v>
      </c>
      <c r="C171" s="24" t="s">
        <v>277</v>
      </c>
      <c r="D171" s="24" t="s">
        <v>18</v>
      </c>
      <c r="E171" s="33" t="s">
        <v>278</v>
      </c>
      <c r="F171" s="34">
        <v>2185694543</v>
      </c>
      <c r="G171" s="36">
        <f>554193991+97858210</f>
        <v>652052201</v>
      </c>
      <c r="H171" s="28">
        <v>0</v>
      </c>
      <c r="I171" s="34">
        <f t="shared" si="15"/>
        <v>2837746744</v>
      </c>
      <c r="J171" s="27">
        <f>554193991+97858210</f>
        <v>652052201</v>
      </c>
      <c r="K171" s="27">
        <v>17797703</v>
      </c>
      <c r="L171" s="29">
        <f t="shared" si="11"/>
        <v>2.7294905181985574E-2</v>
      </c>
      <c r="M171" s="26"/>
      <c r="N171" s="30">
        <f t="shared" si="14"/>
        <v>634254498</v>
      </c>
      <c r="P171" s="61">
        <v>2418702.33</v>
      </c>
      <c r="R171" s="68">
        <f t="shared" si="12"/>
        <v>2418702.33</v>
      </c>
    </row>
    <row r="172" spans="2:18" ht="25.15">
      <c r="B172" s="51">
        <v>128</v>
      </c>
      <c r="C172" s="24" t="s">
        <v>279</v>
      </c>
      <c r="D172" s="24" t="s">
        <v>18</v>
      </c>
      <c r="E172" s="33" t="s">
        <v>280</v>
      </c>
      <c r="F172" s="34">
        <v>164790000</v>
      </c>
      <c r="G172" s="36">
        <v>42513901</v>
      </c>
      <c r="H172" s="28">
        <v>0</v>
      </c>
      <c r="I172" s="34">
        <f t="shared" si="15"/>
        <v>207303901</v>
      </c>
      <c r="J172" s="27">
        <f>39963067+2550834</f>
        <v>42513901</v>
      </c>
      <c r="K172" s="27">
        <v>42512900.379999995</v>
      </c>
      <c r="L172" s="29">
        <f t="shared" si="11"/>
        <v>0.99997646369830884</v>
      </c>
      <c r="M172" s="26"/>
      <c r="N172" s="30">
        <f t="shared" si="14"/>
        <v>1000.6200000047684</v>
      </c>
      <c r="P172" s="61">
        <v>33606.17</v>
      </c>
      <c r="R172" s="68">
        <f t="shared" si="12"/>
        <v>33606.17</v>
      </c>
    </row>
    <row r="173" spans="2:18" ht="25.15">
      <c r="B173" s="51">
        <v>129</v>
      </c>
      <c r="C173" s="24" t="s">
        <v>281</v>
      </c>
      <c r="D173" s="24" t="s">
        <v>18</v>
      </c>
      <c r="E173" s="33" t="s">
        <v>282</v>
      </c>
      <c r="F173" s="34">
        <v>1734315516</v>
      </c>
      <c r="G173" s="36">
        <v>483099250</v>
      </c>
      <c r="H173" s="28">
        <v>0</v>
      </c>
      <c r="I173" s="34">
        <f t="shared" si="15"/>
        <v>2217414766</v>
      </c>
      <c r="J173" s="27">
        <v>483099250</v>
      </c>
      <c r="K173" s="27">
        <v>13509870</v>
      </c>
      <c r="L173" s="29">
        <f t="shared" si="11"/>
        <v>2.7964998910679328E-2</v>
      </c>
      <c r="M173" s="26"/>
      <c r="N173" s="30">
        <f t="shared" si="14"/>
        <v>469589380</v>
      </c>
      <c r="P173" s="61">
        <v>1800011.5999999999</v>
      </c>
      <c r="R173" s="68">
        <f t="shared" si="12"/>
        <v>1800011.5999999999</v>
      </c>
    </row>
    <row r="174" spans="2:18" ht="37.9">
      <c r="B174" s="51">
        <v>130</v>
      </c>
      <c r="C174" s="24" t="s">
        <v>283</v>
      </c>
      <c r="D174" s="24" t="s">
        <v>18</v>
      </c>
      <c r="E174" s="33" t="s">
        <v>284</v>
      </c>
      <c r="F174" s="34">
        <v>1749567100</v>
      </c>
      <c r="G174" s="36">
        <v>449975335</v>
      </c>
      <c r="H174" s="28">
        <v>0</v>
      </c>
      <c r="I174" s="34">
        <f t="shared" si="15"/>
        <v>2199542435</v>
      </c>
      <c r="J174" s="27">
        <v>449975335</v>
      </c>
      <c r="K174" s="27">
        <v>12583560</v>
      </c>
      <c r="L174" s="29">
        <f t="shared" si="11"/>
        <v>2.7964999459359256E-2</v>
      </c>
      <c r="M174" s="26"/>
      <c r="N174" s="30">
        <f t="shared" si="14"/>
        <v>437391775</v>
      </c>
      <c r="P174" s="61">
        <v>1676469.1</v>
      </c>
      <c r="R174" s="68">
        <f t="shared" si="12"/>
        <v>1676469.1</v>
      </c>
    </row>
    <row r="175" spans="2:18" ht="25.15">
      <c r="B175" s="51">
        <v>131</v>
      </c>
      <c r="C175" s="24" t="s">
        <v>285</v>
      </c>
      <c r="D175" s="24" t="s">
        <v>18</v>
      </c>
      <c r="E175" s="33" t="s">
        <v>286</v>
      </c>
      <c r="F175" s="34">
        <v>1707857342</v>
      </c>
      <c r="G175" s="36">
        <v>437239462</v>
      </c>
      <c r="H175" s="28">
        <v>0</v>
      </c>
      <c r="I175" s="34">
        <f t="shared" si="15"/>
        <v>2145096804</v>
      </c>
      <c r="J175" s="27">
        <v>437239462</v>
      </c>
      <c r="K175" s="27">
        <v>73231683.200000003</v>
      </c>
      <c r="L175" s="29">
        <f t="shared" si="11"/>
        <v>0.16748644521934758</v>
      </c>
      <c r="M175" s="26"/>
      <c r="N175" s="30">
        <f t="shared" si="14"/>
        <v>364007778.80000001</v>
      </c>
      <c r="P175" s="61">
        <v>1406648.94</v>
      </c>
      <c r="R175" s="68">
        <f t="shared" si="12"/>
        <v>1406648.94</v>
      </c>
    </row>
    <row r="176" spans="2:18" ht="25.15">
      <c r="B176" s="51">
        <v>132</v>
      </c>
      <c r="C176" s="24" t="s">
        <v>287</v>
      </c>
      <c r="D176" s="24" t="s">
        <v>18</v>
      </c>
      <c r="E176" s="33" t="s">
        <v>288</v>
      </c>
      <c r="F176" s="34">
        <v>1283770000</v>
      </c>
      <c r="G176" s="36">
        <v>334983217</v>
      </c>
      <c r="H176" s="28">
        <v>0</v>
      </c>
      <c r="I176" s="34">
        <f t="shared" si="15"/>
        <v>1618753217</v>
      </c>
      <c r="J176" s="27">
        <v>331633385</v>
      </c>
      <c r="K176" s="27">
        <v>56369385</v>
      </c>
      <c r="L176" s="29">
        <f t="shared" si="11"/>
        <v>0.16827525123445214</v>
      </c>
      <c r="M176" s="26"/>
      <c r="N176" s="30">
        <f t="shared" si="14"/>
        <v>275264000</v>
      </c>
      <c r="P176" s="61">
        <v>1223876.52</v>
      </c>
      <c r="R176" s="68">
        <f t="shared" si="12"/>
        <v>1223876.52</v>
      </c>
    </row>
    <row r="177" spans="2:18" ht="25.15">
      <c r="B177" s="51">
        <v>133</v>
      </c>
      <c r="C177" s="24" t="s">
        <v>289</v>
      </c>
      <c r="D177" s="24" t="s">
        <v>18</v>
      </c>
      <c r="E177" s="33" t="s">
        <v>290</v>
      </c>
      <c r="F177" s="34">
        <v>115315000</v>
      </c>
      <c r="G177" s="36">
        <v>29972344</v>
      </c>
      <c r="H177" s="28">
        <v>0</v>
      </c>
      <c r="I177" s="34">
        <f t="shared" si="15"/>
        <v>145287344</v>
      </c>
      <c r="J177" s="36">
        <v>29972344</v>
      </c>
      <c r="K177" s="27">
        <v>5205395.0999600003</v>
      </c>
      <c r="L177" s="29">
        <f t="shared" si="11"/>
        <v>0.17367327360048984</v>
      </c>
      <c r="M177" s="26"/>
      <c r="N177" s="30">
        <f t="shared" si="14"/>
        <v>24766948.900040001</v>
      </c>
      <c r="P177" s="61">
        <v>93866.31</v>
      </c>
      <c r="R177" s="68">
        <f t="shared" si="12"/>
        <v>93866.31</v>
      </c>
    </row>
    <row r="178" spans="2:18" ht="25.15">
      <c r="B178" s="51">
        <v>134</v>
      </c>
      <c r="C178" s="24" t="s">
        <v>291</v>
      </c>
      <c r="D178" s="24" t="s">
        <v>18</v>
      </c>
      <c r="E178" s="33" t="s">
        <v>292</v>
      </c>
      <c r="F178" s="34">
        <v>1712603956</v>
      </c>
      <c r="G178" s="36">
        <v>681815160</v>
      </c>
      <c r="H178" s="28">
        <v>0</v>
      </c>
      <c r="I178" s="34">
        <f t="shared" si="15"/>
        <v>2394419116</v>
      </c>
      <c r="J178" s="36">
        <v>681815160</v>
      </c>
      <c r="K178" s="27">
        <v>16022656</v>
      </c>
      <c r="L178" s="29">
        <f t="shared" si="11"/>
        <v>2.3499999618664977E-2</v>
      </c>
      <c r="M178" s="26"/>
      <c r="N178" s="30">
        <f t="shared" si="14"/>
        <v>665792504</v>
      </c>
      <c r="P178" s="61">
        <v>2456541.63</v>
      </c>
      <c r="R178" s="68">
        <f t="shared" si="12"/>
        <v>2456541.63</v>
      </c>
    </row>
    <row r="179" spans="2:18" ht="25.15">
      <c r="B179" s="51">
        <v>135</v>
      </c>
      <c r="C179" s="24" t="s">
        <v>293</v>
      </c>
      <c r="D179" s="24" t="s">
        <v>294</v>
      </c>
      <c r="E179" s="33" t="s">
        <v>295</v>
      </c>
      <c r="F179" s="34">
        <v>10648241897</v>
      </c>
      <c r="G179" s="36">
        <v>2738646730</v>
      </c>
      <c r="H179" s="28">
        <v>0</v>
      </c>
      <c r="I179" s="34">
        <f t="shared" si="15"/>
        <v>13386888627</v>
      </c>
      <c r="J179" s="36">
        <v>2560634693</v>
      </c>
      <c r="K179" s="27">
        <v>71608149</v>
      </c>
      <c r="L179" s="29">
        <f t="shared" si="11"/>
        <v>2.6147274935310841E-2</v>
      </c>
      <c r="M179" s="26"/>
      <c r="N179" s="30">
        <f t="shared" si="14"/>
        <v>2489026544</v>
      </c>
      <c r="P179" s="61">
        <v>12961263.57</v>
      </c>
      <c r="R179" s="68">
        <f t="shared" si="12"/>
        <v>12961263.57</v>
      </c>
    </row>
    <row r="180" spans="2:18" ht="25.15">
      <c r="B180" s="51">
        <v>136</v>
      </c>
      <c r="C180" s="24" t="s">
        <v>296</v>
      </c>
      <c r="D180" s="24" t="s">
        <v>18</v>
      </c>
      <c r="E180" s="33" t="s">
        <v>297</v>
      </c>
      <c r="F180" s="34">
        <v>10509829923</v>
      </c>
      <c r="G180" s="36">
        <v>2703048225</v>
      </c>
      <c r="H180" s="28">
        <v>0</v>
      </c>
      <c r="I180" s="34">
        <f t="shared" si="15"/>
        <v>13212878148</v>
      </c>
      <c r="J180" s="36">
        <v>2703048225</v>
      </c>
      <c r="K180" s="27">
        <v>75590743</v>
      </c>
      <c r="L180" s="29">
        <f t="shared" si="11"/>
        <v>2.7964999773542699E-2</v>
      </c>
      <c r="M180" s="26"/>
      <c r="N180" s="30">
        <f t="shared" si="14"/>
        <v>2627457482</v>
      </c>
      <c r="P180" s="61">
        <v>9860742.2400000002</v>
      </c>
      <c r="R180" s="68">
        <f t="shared" si="12"/>
        <v>9860742.2400000002</v>
      </c>
    </row>
    <row r="181" spans="2:18" ht="37.9">
      <c r="B181" s="51">
        <v>137</v>
      </c>
      <c r="C181" s="41" t="s">
        <v>298</v>
      </c>
      <c r="D181" s="24" t="s">
        <v>18</v>
      </c>
      <c r="E181" s="33" t="s">
        <v>299</v>
      </c>
      <c r="F181" s="34">
        <v>2523558983</v>
      </c>
      <c r="G181" s="36">
        <v>665682209</v>
      </c>
      <c r="H181" s="28">
        <v>0</v>
      </c>
      <c r="I181" s="34">
        <f t="shared" si="15"/>
        <v>3189241192</v>
      </c>
      <c r="J181" s="36">
        <v>649040152</v>
      </c>
      <c r="K181" s="27">
        <v>18150408</v>
      </c>
      <c r="L181" s="29">
        <f t="shared" si="11"/>
        <v>2.7265875149744313E-2</v>
      </c>
      <c r="M181" s="26"/>
      <c r="N181" s="30">
        <f t="shared" si="14"/>
        <v>630889744</v>
      </c>
      <c r="P181" s="61">
        <v>2299856.9500000002</v>
      </c>
      <c r="R181" s="68">
        <f t="shared" si="12"/>
        <v>2299856.9500000002</v>
      </c>
    </row>
    <row r="182" spans="2:18" ht="61.9" customHeight="1">
      <c r="B182" s="51">
        <v>138</v>
      </c>
      <c r="C182" s="41" t="s">
        <v>300</v>
      </c>
      <c r="D182" s="24" t="s">
        <v>18</v>
      </c>
      <c r="E182" s="33" t="s">
        <v>301</v>
      </c>
      <c r="F182" s="34">
        <v>13174195226</v>
      </c>
      <c r="G182" s="36">
        <v>2000000000</v>
      </c>
      <c r="H182" s="28">
        <v>0</v>
      </c>
      <c r="I182" s="34">
        <f t="shared" si="15"/>
        <v>15174195226</v>
      </c>
      <c r="J182" s="36">
        <v>2000000000</v>
      </c>
      <c r="K182" s="27">
        <v>55930000</v>
      </c>
      <c r="L182" s="29">
        <f t="shared" si="11"/>
        <v>2.7965E-2</v>
      </c>
      <c r="M182" s="26"/>
      <c r="N182" s="30">
        <f t="shared" si="14"/>
        <v>1944070000</v>
      </c>
      <c r="P182" s="61">
        <v>8278546.9100000001</v>
      </c>
      <c r="R182" s="68">
        <f t="shared" si="12"/>
        <v>8278546.9100000001</v>
      </c>
    </row>
    <row r="183" spans="2:18" ht="37.9">
      <c r="B183" s="51">
        <v>139</v>
      </c>
      <c r="C183" s="41" t="s">
        <v>302</v>
      </c>
      <c r="D183" s="24" t="s">
        <v>18</v>
      </c>
      <c r="E183" s="33" t="s">
        <v>303</v>
      </c>
      <c r="F183" s="34">
        <v>444475502</v>
      </c>
      <c r="G183" s="36">
        <v>61000000</v>
      </c>
      <c r="H183" s="28">
        <v>0</v>
      </c>
      <c r="I183" s="34">
        <f t="shared" si="15"/>
        <v>505475502</v>
      </c>
      <c r="J183" s="36">
        <v>59780000</v>
      </c>
      <c r="K183" s="27">
        <v>1671748</v>
      </c>
      <c r="L183" s="29">
        <f t="shared" si="11"/>
        <v>2.7405704918032788E-2</v>
      </c>
      <c r="M183" s="26"/>
      <c r="N183" s="30">
        <f t="shared" si="14"/>
        <v>58108252</v>
      </c>
      <c r="P183" s="61">
        <v>212518.71</v>
      </c>
      <c r="R183" s="68">
        <f t="shared" si="12"/>
        <v>212518.71</v>
      </c>
    </row>
    <row r="184" spans="2:18" ht="37.9">
      <c r="B184" s="51">
        <v>140</v>
      </c>
      <c r="C184" s="41" t="s">
        <v>304</v>
      </c>
      <c r="D184" s="24" t="s">
        <v>18</v>
      </c>
      <c r="E184" s="33" t="s">
        <v>305</v>
      </c>
      <c r="F184" s="34">
        <v>939286636</v>
      </c>
      <c r="G184" s="36">
        <v>700000000</v>
      </c>
      <c r="H184" s="28">
        <v>0</v>
      </c>
      <c r="I184" s="34">
        <f t="shared" si="15"/>
        <v>1639286636</v>
      </c>
      <c r="J184" s="36">
        <v>700000000</v>
      </c>
      <c r="K184" s="27">
        <v>16515800</v>
      </c>
      <c r="L184" s="29">
        <f t="shared" si="11"/>
        <v>2.3594E-2</v>
      </c>
      <c r="M184" s="26"/>
      <c r="N184" s="30">
        <f t="shared" si="14"/>
        <v>683484200</v>
      </c>
      <c r="P184" s="61">
        <f>1729687.58+735206.62</f>
        <v>2464894.2000000002</v>
      </c>
      <c r="R184" s="68">
        <f t="shared" si="12"/>
        <v>2464894.2000000002</v>
      </c>
    </row>
    <row r="185" spans="2:18" ht="50.45">
      <c r="B185" s="51">
        <v>141</v>
      </c>
      <c r="C185" s="41" t="s">
        <v>306</v>
      </c>
      <c r="D185" s="24" t="s">
        <v>18</v>
      </c>
      <c r="E185" s="33" t="s">
        <v>307</v>
      </c>
      <c r="F185" s="34">
        <v>409393758</v>
      </c>
      <c r="G185" s="36">
        <v>90809271</v>
      </c>
      <c r="H185" s="28">
        <v>0</v>
      </c>
      <c r="I185" s="34">
        <f t="shared" si="15"/>
        <v>500203029</v>
      </c>
      <c r="J185" s="36">
        <v>90809271</v>
      </c>
      <c r="K185" s="27">
        <v>2549638.92</v>
      </c>
      <c r="L185" s="29">
        <f t="shared" si="11"/>
        <v>2.807685704249294E-2</v>
      </c>
      <c r="M185" s="26"/>
      <c r="N185" s="30">
        <f t="shared" si="14"/>
        <v>88259632.079999998</v>
      </c>
      <c r="P185" s="61">
        <v>318466.89</v>
      </c>
      <c r="R185" s="68">
        <f t="shared" si="12"/>
        <v>318466.89</v>
      </c>
    </row>
    <row r="186" spans="2:18" s="44" customFormat="1" ht="21.75" customHeight="1">
      <c r="C186" s="77" t="s">
        <v>308</v>
      </c>
      <c r="D186" s="77"/>
      <c r="E186" s="77"/>
      <c r="F186" s="42">
        <f>SUM(F5:F185)</f>
        <v>233165499695.85001</v>
      </c>
      <c r="G186" s="42">
        <f>SUM(G5:G185)</f>
        <v>107087940664.90996</v>
      </c>
      <c r="H186" s="42">
        <f>SUM(H5:H185)</f>
        <v>39868898146.110001</v>
      </c>
      <c r="I186" s="42">
        <f>SUM(I5:I185)</f>
        <v>380122338506.87</v>
      </c>
      <c r="J186" s="42">
        <f t="shared" ref="J186:N186" si="16">SUM(J5:J185)</f>
        <v>102651866150.80997</v>
      </c>
      <c r="K186" s="42">
        <f t="shared" si="16"/>
        <v>79707791345.93988</v>
      </c>
      <c r="L186" s="43">
        <f>+K186/G186</f>
        <v>0.74432089039189198</v>
      </c>
      <c r="M186" s="42">
        <f t="shared" si="16"/>
        <v>8889257361.4454346</v>
      </c>
      <c r="N186" s="42">
        <f t="shared" si="16"/>
        <v>14054817443.728758</v>
      </c>
      <c r="P186" s="42">
        <f>+SUBTOTAL(9,P5:P185)</f>
        <v>71248060.600000009</v>
      </c>
      <c r="R186" s="42">
        <f t="shared" ref="R186" si="17">+SUBTOTAL(9,R5:R185)</f>
        <v>71248060.600000009</v>
      </c>
    </row>
    <row r="187" spans="2:18" ht="9" customHeight="1">
      <c r="C187" s="45"/>
      <c r="F187" s="46"/>
      <c r="G187" s="46"/>
      <c r="H187" s="46"/>
      <c r="I187" s="46"/>
      <c r="J187" s="46"/>
      <c r="K187" s="46"/>
      <c r="L187" s="46"/>
      <c r="M187" s="46"/>
      <c r="N187" s="46"/>
    </row>
    <row r="188" spans="2:18" ht="13.15">
      <c r="C188" s="45" t="s">
        <v>309</v>
      </c>
      <c r="F188" s="46"/>
      <c r="G188" s="46"/>
      <c r="H188" s="46"/>
      <c r="I188" s="46"/>
      <c r="J188" s="46"/>
      <c r="K188" s="46"/>
      <c r="L188" s="46"/>
      <c r="M188" s="46"/>
      <c r="N188" s="46"/>
      <c r="P188" s="62" t="s">
        <v>310</v>
      </c>
    </row>
    <row r="189" spans="2:18" ht="18" customHeight="1">
      <c r="C189" s="47" t="s">
        <v>311</v>
      </c>
      <c r="P189" s="62" t="s">
        <v>312</v>
      </c>
    </row>
    <row r="190" spans="2:18" ht="18" customHeight="1">
      <c r="C190" s="45"/>
      <c r="P190" s="62" t="s">
        <v>313</v>
      </c>
    </row>
    <row r="191" spans="2:18" ht="15">
      <c r="C191" s="48" t="s">
        <v>314</v>
      </c>
      <c r="P191" s="63" t="s">
        <v>315</v>
      </c>
    </row>
    <row r="192" spans="2:18" ht="13.15">
      <c r="N192" s="49"/>
      <c r="P192" s="63" t="s">
        <v>316</v>
      </c>
    </row>
    <row r="193" spans="16:16" ht="13.15">
      <c r="P193" s="63" t="s">
        <v>317</v>
      </c>
    </row>
  </sheetData>
  <autoFilter ref="C4:E189" xr:uid="{A7CED14D-3E81-4FAE-909D-82C83636CB70}"/>
  <mergeCells count="38">
    <mergeCell ref="P3:R3"/>
    <mergeCell ref="B148:B149"/>
    <mergeCell ref="B151:B152"/>
    <mergeCell ref="B156:B157"/>
    <mergeCell ref="B158:B167"/>
    <mergeCell ref="B112:B113"/>
    <mergeCell ref="B132:B140"/>
    <mergeCell ref="B57:B60"/>
    <mergeCell ref="B77:B78"/>
    <mergeCell ref="B82:B83"/>
    <mergeCell ref="B85:B93"/>
    <mergeCell ref="B105:B111"/>
    <mergeCell ref="E57:E60"/>
    <mergeCell ref="F57:F60"/>
    <mergeCell ref="I57:I60"/>
    <mergeCell ref="F77:F78"/>
    <mergeCell ref="I77:I78"/>
    <mergeCell ref="F82:F83"/>
    <mergeCell ref="I82:I83"/>
    <mergeCell ref="F132:F140"/>
    <mergeCell ref="I132:I140"/>
    <mergeCell ref="I85:I93"/>
    <mergeCell ref="F3:I3"/>
    <mergeCell ref="C186:E186"/>
    <mergeCell ref="F2:I2"/>
    <mergeCell ref="F151:F152"/>
    <mergeCell ref="I151:I152"/>
    <mergeCell ref="F156:F157"/>
    <mergeCell ref="I156:I157"/>
    <mergeCell ref="F158:F167"/>
    <mergeCell ref="I158:I167"/>
    <mergeCell ref="F105:F111"/>
    <mergeCell ref="I105:I111"/>
    <mergeCell ref="F112:F113"/>
    <mergeCell ref="I112:I113"/>
    <mergeCell ref="F148:F149"/>
    <mergeCell ref="I148:I149"/>
    <mergeCell ref="F85:F93"/>
  </mergeCells>
  <pageMargins left="0.7" right="0.7" top="0.75" bottom="0.75" header="0.3" footer="0.3"/>
  <pageSetup orientation="portrait" r:id="rId1"/>
  <ignoredErrors>
    <ignoredError sqref="L18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Helga_x0020_Hern_x00e1_ndez xmlns="47cb3e12-45b3-4531-b84f-87359d4b7239">
      <UserInfo>
        <DisplayName/>
        <AccountId xsi:nil="true"/>
        <AccountType/>
      </UserInfo>
    </Helga_x0020_Hern_x00e1_ndez>
    <_ip_UnifiedCompliancePolicyProperties xmlns="http://schemas.microsoft.com/sharepoint/v3" xsi:nil="true"/>
    <lcf76f155ced4ddcb4097134ff3c332f xmlns="47cb3e12-45b3-4531-b84f-87359d4b7239">
      <Terms xmlns="http://schemas.microsoft.com/office/infopath/2007/PartnerControls"/>
    </lcf76f155ced4ddcb4097134ff3c332f>
    <_Flow_SignoffStatus xmlns="47cb3e12-45b3-4531-b84f-87359d4b7239" xsi:nil="true"/>
    <TaxCatchAll xmlns="838bd66f-6e2c-4628-b9f9-6ffebaa227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22" ma:contentTypeDescription="Crear nuevo documento." ma:contentTypeScope="" ma:versionID="115c4d5ef077311f0ccaf801781ea5b8">
  <xsd:schema xmlns:xsd="http://www.w3.org/2001/XMLSchema" xmlns:xs="http://www.w3.org/2001/XMLSchema" xmlns:p="http://schemas.microsoft.com/office/2006/metadata/properties" xmlns:ns1="http://schemas.microsoft.com/sharepoint/v3" xmlns:ns2="a16ba950-d015-4cbc-806e-9cba0f1b5528" xmlns:ns3="47cb3e12-45b3-4531-b84f-87359d4b7239" xmlns:ns4="838bd66f-6e2c-4628-b9f9-6ffebaa227a8" targetNamespace="http://schemas.microsoft.com/office/2006/metadata/properties" ma:root="true" ma:fieldsID="f07a988bf8a860b8b35cda1cba6045c4" ns1:_="" ns2:_="" ns3:_="" ns4:_="">
    <xsd:import namespace="http://schemas.microsoft.com/sharepoint/v3"/>
    <xsd:import namespace="a16ba950-d015-4cbc-806e-9cba0f1b5528"/>
    <xsd:import namespace="47cb3e12-45b3-4531-b84f-87359d4b7239"/>
    <xsd:import namespace="838bd66f-6e2c-4628-b9f9-6ffebaa227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Helga_x0020_Hern_x00e1_ndez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Helga_x0020_Hern_x00e1_ndez" ma:index="16" nillable="true" ma:displayName="Helga Hernández" ma:format="Dropdown" ma:list="UserInfo" ma:SharePointGroup="0" ma:internalName="Helga_x0020_Hern_x00e1_ndez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0c597d8b-bc98-4887-b643-447b6f0135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bd66f-6e2c-4628-b9f9-6ffebaa227a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8278f39a-443e-4925-9d51-d941a5dfb930}" ma:internalName="TaxCatchAll" ma:showField="CatchAllData" ma:web="838bd66f-6e2c-4628-b9f9-6ffebaa227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989B9-6F9A-4508-9E2B-7680764EFAFA}"/>
</file>

<file path=customXml/itemProps2.xml><?xml version="1.0" encoding="utf-8"?>
<ds:datastoreItem xmlns:ds="http://schemas.openxmlformats.org/officeDocument/2006/customXml" ds:itemID="{D8521172-46A5-406C-AEDC-28B7CCBBD0A0}"/>
</file>

<file path=customXml/itemProps3.xml><?xml version="1.0" encoding="utf-8"?>
<ds:datastoreItem xmlns:ds="http://schemas.openxmlformats.org/officeDocument/2006/customXml" ds:itemID="{0671ABA8-510D-442E-8FBF-11B60D1DE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Lorena Rangel Gil</dc:creator>
  <cp:keywords/>
  <dc:description/>
  <cp:lastModifiedBy>Natalia Aguilera Quintero</cp:lastModifiedBy>
  <cp:revision/>
  <dcterms:created xsi:type="dcterms:W3CDTF">2023-06-07T14:21:30Z</dcterms:created>
  <dcterms:modified xsi:type="dcterms:W3CDTF">2024-05-22T11:50:19Z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  <property fmtid="{D5CDD505-2E9C-101B-9397-08002B2CF9AE}" pid="3" name="MediaServiceImageTags">
    <vt:lpwstr/>
  </property>
</Properties>
</file>